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faiconsulting-my.sharepoint.com/personal/rgarcia_sfai_co/Documents/Calendario,2023/"/>
    </mc:Choice>
  </mc:AlternateContent>
  <xr:revisionPtr revIDLastSave="468" documentId="8_{40D55A21-7A64-4883-AD30-972B9A42A2E9}" xr6:coauthVersionLast="47" xr6:coauthVersionMax="47" xr10:uidLastSave="{6E91D6F9-B3EC-4728-AAEF-88F4EBCC1956}"/>
  <bookViews>
    <workbookView xWindow="-120" yWindow="-120" windowWidth="29040" windowHeight="15840" tabRatio="751" firstSheet="2" activeTab="2" xr2:uid="{BB3367E7-D61E-4A6B-8F69-D81B395B154B}"/>
  </bookViews>
  <sheets>
    <sheet name="FERIADOS" sheetId="16" state="hidden" r:id="rId1"/>
    <sheet name="Días festivos" sheetId="15" state="hidden" r:id="rId2"/>
    <sheet name="Portada" sheetId="47" r:id="rId3"/>
    <sheet name="Menú" sheetId="20" r:id="rId4"/>
    <sheet name="GrandeContribuyentes" sheetId="19" r:id="rId5"/>
    <sheet name="AnticipoSobretasa" sheetId="54" r:id="rId6"/>
    <sheet name="PersonasJurídicas" sheetId="21" r:id="rId7"/>
    <sheet name="PersonasNaturales" sheetId="22" r:id="rId8"/>
    <sheet name="ImpoPatrimonio" sheetId="29" r:id="rId9"/>
    <sheet name="RST-DeclaUnificada" sheetId="18" r:id="rId10"/>
    <sheet name="RST-IVACosolidada" sheetId="24" r:id="rId11"/>
    <sheet name="RST-Anticipo" sheetId="25" r:id="rId12"/>
    <sheet name="PT_Declara_Docum" sheetId="26" r:id="rId13"/>
    <sheet name="PT_InformeMestro" sheetId="27" r:id="rId14"/>
    <sheet name="PT_PaísporPaís" sheetId="28" r:id="rId15"/>
    <sheet name="IVABimestral" sheetId="53" r:id="rId16"/>
    <sheet name="IVA_Cuatrimestre" sheetId="30" r:id="rId17"/>
    <sheet name="IVA_Serv_Exterior" sheetId="49" r:id="rId18"/>
    <sheet name="ImpoBebidayComestiblesUltra" sheetId="56" r:id="rId19"/>
    <sheet name="IMPOconsumo" sheetId="31" r:id="rId20"/>
    <sheet name="RETEfuente" sheetId="32" r:id="rId21"/>
    <sheet name="TablaRetefuente" sheetId="40" r:id="rId22"/>
    <sheet name="Gasol_ACPM" sheetId="33" r:id="rId23"/>
    <sheet name="IMPOcarbono" sheetId="34" r:id="rId24"/>
    <sheet name="Impoplasticos1Uso" sheetId="55" r:id="rId25"/>
    <sheet name="GMF" sheetId="36" r:id="rId26"/>
    <sheet name="Certificados" sheetId="37" r:id="rId27"/>
    <sheet name="ExogenaDIAN" sheetId="38" r:id="rId28"/>
    <sheet name="Supersociedades" sheetId="41" r:id="rId29"/>
    <sheet name="ICA_Cali" sheetId="44" r:id="rId30"/>
    <sheet name="ICA_Bogotá" sheetId="45" r:id="rId31"/>
    <sheet name="ICA_Medellín" sheetId="43" r:id="rId32"/>
    <sheet name="ICA_Barranquilla" sheetId="42" r:id="rId33"/>
    <sheet name="Otros _Datos" sheetId="46" r:id="rId34"/>
    <sheet name="Anual" sheetId="2" r:id="rId35"/>
    <sheet name="Enero" sheetId="3" r:id="rId36"/>
    <sheet name="Febrero" sheetId="4" r:id="rId37"/>
    <sheet name="Marzo" sheetId="5" r:id="rId38"/>
    <sheet name="Abril" sheetId="6" r:id="rId39"/>
    <sheet name="Mayo" sheetId="7" r:id="rId40"/>
    <sheet name="Junio" sheetId="8" r:id="rId41"/>
    <sheet name="Julio" sheetId="9" r:id="rId42"/>
    <sheet name="Agosto" sheetId="10" r:id="rId43"/>
    <sheet name="Septiembre" sheetId="11" r:id="rId44"/>
    <sheet name="Octubre" sheetId="12" r:id="rId45"/>
    <sheet name="Noviembre" sheetId="13" r:id="rId46"/>
    <sheet name="Diciembre" sheetId="14" r:id="rId47"/>
    <sheet name="Contra" sheetId="48" r:id="rId48"/>
  </sheets>
  <definedNames>
    <definedName name="_xlnm.Print_Area" localSheetId="38">Abril!$A$1:$I$16</definedName>
    <definedName name="_xlnm.Print_Area" localSheetId="42">Agosto!$A$1:$I$16</definedName>
    <definedName name="_xlnm.Print_Area" localSheetId="34">Anual!$A$1:$AG$38</definedName>
    <definedName name="_xlnm.Print_Area" localSheetId="1">'Días festivos'!$A$1:$N$26</definedName>
    <definedName name="_xlnm.Print_Area" localSheetId="46">Diciembre!$A$1:$I$16</definedName>
    <definedName name="_xlnm.Print_Area" localSheetId="35">Enero!$A$1:$I$16</definedName>
    <definedName name="_xlnm.Print_Area" localSheetId="36">Febrero!$A$1:$I$16</definedName>
    <definedName name="_xlnm.Print_Area" localSheetId="4">GrandeContribuyentes!$A$1:$M$29</definedName>
    <definedName name="_xlnm.Print_Area" localSheetId="41">Julio!$A$1:$I$16</definedName>
    <definedName name="_xlnm.Print_Area" localSheetId="40">Junio!$A$1:$I$16</definedName>
    <definedName name="_xlnm.Print_Area" localSheetId="37">Marzo!$A$1:$I$16</definedName>
    <definedName name="_xlnm.Print_Area" localSheetId="39">Mayo!$A$1:$I$16</definedName>
    <definedName name="_xlnm.Print_Area" localSheetId="45">Noviembre!$A$1:$I$16</definedName>
    <definedName name="_xlnm.Print_Area" localSheetId="44">Octubre!$A$1:$I$16</definedName>
    <definedName name="_xlnm.Print_Area" localSheetId="6">PersonasJurídicas!$A$1:$J$45</definedName>
    <definedName name="_xlnm.Print_Area" localSheetId="7">PersonasNaturales!$A$1:$J$40</definedName>
    <definedName name="_xlnm.Print_Area" localSheetId="43">Septiembre!$A$1:$I$16</definedName>
    <definedName name="CalYear">Anual!$R$4</definedName>
    <definedName name="Días" localSheetId="1">{0,1,2,3,4,5,6} + {0;1;2;3;4;5}*7</definedName>
    <definedName name="Días">{0,1,2,3,4,5,6} + {0;1;2;3;4;5}*7</definedName>
    <definedName name="InicioDeLaSemana">Anual!$I$4</definedName>
    <definedName name="MayoLunes" localSheetId="1">SUM((WEEKDAY(DATE([0]!CalYear,5,(ROW(INDIRECT("1:"&amp;DAY(DATE([0]!CalYear,5+1,0)))))))=2)*1)</definedName>
    <definedName name="MayoLunes">SUM((WEEKDAY(DATE(CalYear,5,(ROW(INDIRECT("1:"&amp;DAY(DATE(CalYear,5+1,0)))))))=2)*1)</definedName>
    <definedName name="MostrarDíasFestivos">Anual!$I$5</definedName>
    <definedName name="MostrarFestivosObservados">Anual!$I$7</definedName>
    <definedName name="Observado">Anual!$I$6</definedName>
    <definedName name="tblDíasfestivos">'Días festivos'!$B$4:$G$124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8" i="46" l="1"/>
  <c r="J27" i="46"/>
  <c r="J23" i="46"/>
  <c r="J24" i="46" s="1"/>
  <c r="F23" i="46"/>
  <c r="F24" i="46" s="1"/>
  <c r="F22" i="46"/>
  <c r="J29" i="46"/>
  <c r="J25" i="46" l="1"/>
  <c r="J26" i="46"/>
  <c r="H24" i="40"/>
  <c r="H65" i="40"/>
  <c r="H78" i="40"/>
  <c r="H69" i="40"/>
  <c r="H67" i="40"/>
  <c r="H62" i="40"/>
  <c r="H61" i="40"/>
  <c r="H60" i="40"/>
  <c r="H56" i="40"/>
  <c r="H55" i="40"/>
  <c r="H54" i="40"/>
  <c r="H53" i="40"/>
  <c r="H51" i="40"/>
  <c r="E51" i="40"/>
  <c r="E53" i="40" s="1"/>
  <c r="E54" i="40" s="1"/>
  <c r="E55" i="40" s="1"/>
  <c r="E56" i="40" s="1"/>
  <c r="E57" i="40" s="1"/>
  <c r="E58" i="40" s="1"/>
  <c r="E59" i="40" s="1"/>
  <c r="E60" i="40" s="1"/>
  <c r="E61" i="40" s="1"/>
  <c r="E62" i="40" s="1"/>
  <c r="E63" i="40" s="1"/>
  <c r="E68" i="40" s="1"/>
  <c r="E69" i="40" s="1"/>
  <c r="E70" i="40" s="1"/>
  <c r="E71" i="40" s="1"/>
  <c r="E72" i="40" s="1"/>
  <c r="E73" i="40" s="1"/>
  <c r="E74" i="40" s="1"/>
  <c r="E75" i="40" s="1"/>
  <c r="E76" i="40" s="1"/>
  <c r="E78" i="40" s="1"/>
  <c r="H50" i="40"/>
  <c r="H49" i="40"/>
  <c r="E49" i="40"/>
  <c r="H48" i="40"/>
  <c r="H47" i="40"/>
  <c r="E47" i="40"/>
  <c r="H44" i="40"/>
  <c r="H45" i="40" s="1"/>
  <c r="H43" i="40"/>
  <c r="H42" i="40"/>
  <c r="H41" i="40"/>
  <c r="H40" i="40"/>
  <c r="H39" i="40"/>
  <c r="H38" i="40"/>
  <c r="H37" i="40"/>
  <c r="E27" i="40"/>
  <c r="E28" i="40" s="1"/>
  <c r="E29" i="40" s="1"/>
  <c r="E30" i="40" s="1"/>
  <c r="E31" i="40" s="1"/>
  <c r="E32" i="40" s="1"/>
  <c r="E33" i="40" s="1"/>
  <c r="E34" i="40" s="1"/>
  <c r="E35" i="40" s="1"/>
  <c r="E37" i="40" s="1"/>
  <c r="E38" i="40" s="1"/>
  <c r="E39" i="40" s="1"/>
  <c r="E40" i="40" s="1"/>
  <c r="E41" i="40" s="1"/>
  <c r="E42" i="40" s="1"/>
  <c r="E43" i="40" s="1"/>
  <c r="E44" i="40" s="1"/>
  <c r="E45" i="40" s="1"/>
  <c r="H23" i="40"/>
  <c r="E80" i="40" l="1"/>
  <c r="E81" i="40" s="1"/>
  <c r="E82" i="40" s="1"/>
  <c r="E83" i="40" s="1"/>
  <c r="E84" i="40" s="1"/>
  <c r="E85" i="40" s="1"/>
  <c r="E86" i="40" s="1"/>
  <c r="E87" i="40" s="1"/>
  <c r="E88" i="40" s="1"/>
  <c r="E89" i="40" s="1"/>
  <c r="E90" i="40" s="1"/>
  <c r="E91" i="40" s="1"/>
  <c r="E92" i="40" s="1"/>
  <c r="E95" i="40" s="1"/>
  <c r="E97" i="40" s="1"/>
  <c r="E98" i="40" s="1"/>
  <c r="E99" i="40" s="1"/>
  <c r="E100" i="40" s="1"/>
  <c r="E101" i="40" s="1"/>
  <c r="E102" i="40" s="1"/>
  <c r="E103" i="40" s="1"/>
  <c r="E104" i="40" s="1"/>
  <c r="E105" i="40" s="1"/>
  <c r="H46" i="40"/>
  <c r="F15" i="38"/>
  <c r="F16" i="38" s="1"/>
  <c r="F17" i="38" s="1"/>
  <c r="F18" i="38" s="1"/>
  <c r="F19" i="38" s="1"/>
  <c r="F20" i="38" s="1"/>
  <c r="F21" i="38" s="1"/>
  <c r="F22" i="38" s="1"/>
  <c r="F23" i="38" s="1"/>
  <c r="F24" i="38" s="1"/>
  <c r="F25" i="38" s="1"/>
  <c r="F26" i="38" s="1"/>
  <c r="F27" i="38" s="1"/>
  <c r="F28" i="38" s="1"/>
  <c r="F29" i="38" s="1"/>
  <c r="F30" i="38" s="1"/>
  <c r="F31" i="38" s="1"/>
  <c r="F32" i="38" s="1"/>
  <c r="F33" i="38" s="1"/>
  <c r="I15" i="38"/>
  <c r="I16" i="38" s="1"/>
  <c r="I17" i="38" s="1"/>
  <c r="I18" i="38" s="1"/>
  <c r="I19" i="38" s="1"/>
  <c r="I20" i="38" s="1"/>
  <c r="I21" i="38" s="1"/>
  <c r="I22" i="38" s="1"/>
  <c r="I23" i="38" s="1"/>
  <c r="O8" i="37"/>
  <c r="O4" i="37"/>
  <c r="B4" i="14" l="1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B15" i="14" a="1"/>
  <c r="C15" i="14" s="1"/>
  <c r="B13" i="14" a="1"/>
  <c r="G13" i="14" s="1"/>
  <c r="B11" i="14" a="1"/>
  <c r="F11" i="14" s="1"/>
  <c r="B9" i="14" a="1"/>
  <c r="E9" i="14" s="1"/>
  <c r="B7" i="14" a="1"/>
  <c r="E7" i="14" s="1"/>
  <c r="B5" i="14" a="1"/>
  <c r="H5" i="14" s="1"/>
  <c r="H4" i="14" s="1"/>
  <c r="B15" i="13" a="1"/>
  <c r="C15" i="13" s="1"/>
  <c r="B13" i="13" a="1"/>
  <c r="H13" i="13" s="1"/>
  <c r="B11" i="13" a="1"/>
  <c r="F11" i="13" s="1"/>
  <c r="B9" i="13" a="1"/>
  <c r="E9" i="13" s="1"/>
  <c r="B7" i="13" a="1"/>
  <c r="E7" i="13" s="1"/>
  <c r="B5" i="13" a="1"/>
  <c r="H5" i="13" s="1"/>
  <c r="H4" i="13" s="1"/>
  <c r="B4" i="13"/>
  <c r="B15" i="12" a="1"/>
  <c r="C15" i="12" s="1"/>
  <c r="B13" i="12" a="1"/>
  <c r="H13" i="12" s="1"/>
  <c r="B11" i="12" a="1"/>
  <c r="F11" i="12" s="1"/>
  <c r="B9" i="12" a="1"/>
  <c r="E9" i="12" s="1"/>
  <c r="B7" i="12" a="1"/>
  <c r="E7" i="12" s="1"/>
  <c r="B5" i="12" a="1"/>
  <c r="H5" i="12" s="1"/>
  <c r="H4" i="12" s="1"/>
  <c r="B4" i="12"/>
  <c r="B15" i="11" a="1"/>
  <c r="C15" i="11" s="1"/>
  <c r="B13" i="11" a="1"/>
  <c r="H13" i="11" s="1"/>
  <c r="B11" i="11" a="1"/>
  <c r="F11" i="11" s="1"/>
  <c r="B9" i="11" a="1"/>
  <c r="E9" i="11" s="1"/>
  <c r="B7" i="11" a="1"/>
  <c r="E7" i="11" s="1"/>
  <c r="B5" i="11" a="1"/>
  <c r="H5" i="11" s="1"/>
  <c r="H4" i="11" s="1"/>
  <c r="B4" i="11"/>
  <c r="B15" i="10" a="1"/>
  <c r="C15" i="10" s="1"/>
  <c r="B13" i="10" a="1"/>
  <c r="G13" i="10" s="1"/>
  <c r="B11" i="10" a="1"/>
  <c r="F11" i="10" s="1"/>
  <c r="B9" i="10" a="1"/>
  <c r="E9" i="10" s="1"/>
  <c r="B7" i="10" a="1"/>
  <c r="E7" i="10" s="1"/>
  <c r="B5" i="10" a="1"/>
  <c r="G5" i="10" s="1"/>
  <c r="G4" i="10" s="1"/>
  <c r="B4" i="10"/>
  <c r="B15" i="9" a="1"/>
  <c r="B13" i="9" a="1"/>
  <c r="G13" i="9" s="1"/>
  <c r="B11" i="9" a="1"/>
  <c r="F11" i="9" s="1"/>
  <c r="B9" i="9" a="1"/>
  <c r="E9" i="9" s="1"/>
  <c r="B7" i="9" a="1"/>
  <c r="B5" i="9" a="1"/>
  <c r="G5" i="9" s="1"/>
  <c r="G4" i="9" s="1"/>
  <c r="B4" i="9"/>
  <c r="B15" i="8" a="1"/>
  <c r="C15" i="8" s="1"/>
  <c r="B13" i="8" a="1"/>
  <c r="E13" i="8" s="1"/>
  <c r="B11" i="8" a="1"/>
  <c r="E11" i="8" s="1"/>
  <c r="B9" i="8" a="1"/>
  <c r="E9" i="8" s="1"/>
  <c r="B7" i="8" a="1"/>
  <c r="E7" i="8" s="1"/>
  <c r="B5" i="8" a="1"/>
  <c r="E5" i="8" s="1"/>
  <c r="E4" i="8" s="1"/>
  <c r="B4" i="8"/>
  <c r="B15" i="7" a="1"/>
  <c r="B15" i="7" s="1"/>
  <c r="B13" i="7" a="1"/>
  <c r="E13" i="7" s="1"/>
  <c r="B11" i="7" a="1"/>
  <c r="D11" i="7" s="1"/>
  <c r="B9" i="7" a="1"/>
  <c r="E9" i="7" s="1"/>
  <c r="B7" i="7" a="1"/>
  <c r="E7" i="7" s="1"/>
  <c r="B5" i="7" a="1"/>
  <c r="G5" i="7" s="1"/>
  <c r="G4" i="7" s="1"/>
  <c r="B4" i="7"/>
  <c r="B15" i="6" a="1"/>
  <c r="B15" i="6" s="1"/>
  <c r="B13" i="6" a="1"/>
  <c r="E13" i="6" s="1"/>
  <c r="B11" i="6" a="1"/>
  <c r="E11" i="6" s="1"/>
  <c r="B9" i="6" a="1"/>
  <c r="G9" i="6" s="1"/>
  <c r="B7" i="6" a="1"/>
  <c r="F7" i="6" s="1"/>
  <c r="B5" i="6" a="1"/>
  <c r="E5" i="6" s="1"/>
  <c r="E4" i="6" s="1"/>
  <c r="B4" i="6"/>
  <c r="B15" i="5" a="1"/>
  <c r="B15" i="5" s="1"/>
  <c r="B13" i="5" a="1"/>
  <c r="E13" i="5" s="1"/>
  <c r="B11" i="5" a="1"/>
  <c r="E11" i="5" s="1"/>
  <c r="B9" i="5" a="1"/>
  <c r="G9" i="5" s="1"/>
  <c r="B7" i="5" a="1"/>
  <c r="F7" i="5" s="1"/>
  <c r="B5" i="5" a="1"/>
  <c r="E5" i="5" s="1"/>
  <c r="E4" i="5" s="1"/>
  <c r="B4" i="5"/>
  <c r="B15" i="4" a="1"/>
  <c r="B15" i="4" s="1"/>
  <c r="B13" i="4" a="1"/>
  <c r="E13" i="4" s="1"/>
  <c r="B11" i="4" a="1"/>
  <c r="E11" i="4" s="1"/>
  <c r="B9" i="4" a="1"/>
  <c r="G9" i="4" s="1"/>
  <c r="B7" i="4" a="1"/>
  <c r="H7" i="4" s="1"/>
  <c r="B5" i="4" a="1"/>
  <c r="E5" i="4" s="1"/>
  <c r="E4" i="4" s="1"/>
  <c r="B4" i="4"/>
  <c r="B15" i="3" a="1"/>
  <c r="B13" i="3" a="1"/>
  <c r="E13" i="3" s="1"/>
  <c r="B11" i="3" a="1"/>
  <c r="H11" i="3" s="1"/>
  <c r="B9" i="3" a="1"/>
  <c r="E9" i="3" s="1"/>
  <c r="B7" i="3" a="1"/>
  <c r="E7" i="3" s="1"/>
  <c r="B5" i="3" a="1"/>
  <c r="E5" i="3" s="1"/>
  <c r="E4" i="3" s="1"/>
  <c r="B4" i="3"/>
  <c r="Z29" i="2"/>
  <c r="Z31" i="2" s="1" a="1"/>
  <c r="AF31" i="2" s="1"/>
  <c r="R29" i="2"/>
  <c r="R36" i="2" s="1" a="1"/>
  <c r="T36" i="2" s="1"/>
  <c r="J29" i="2"/>
  <c r="J33" i="2" s="1" a="1"/>
  <c r="B29" i="2"/>
  <c r="B32" i="2" s="1" a="1"/>
  <c r="H32" i="2" s="1"/>
  <c r="Z20" i="2"/>
  <c r="Z22" i="2" s="1" a="1"/>
  <c r="R20" i="2"/>
  <c r="R21" i="2" s="1"/>
  <c r="J20" i="2"/>
  <c r="J21" i="2" s="1"/>
  <c r="B20" i="2"/>
  <c r="B21" i="2" s="1"/>
  <c r="Z11" i="2"/>
  <c r="Z12" i="2" s="1"/>
  <c r="R11" i="2"/>
  <c r="R12" i="2" s="1"/>
  <c r="J11" i="2"/>
  <c r="J17" i="2" s="1" a="1"/>
  <c r="B11" i="2"/>
  <c r="B13" i="2" s="1" a="1"/>
  <c r="B5" i="15" a="1"/>
  <c r="H13" i="10" l="1"/>
  <c r="F17" i="15"/>
  <c r="F16" i="15"/>
  <c r="F22" i="15"/>
  <c r="F21" i="15"/>
  <c r="F20" i="15"/>
  <c r="F19" i="15"/>
  <c r="F18" i="15"/>
  <c r="F13" i="15"/>
  <c r="F9" i="15"/>
  <c r="F15" i="15"/>
  <c r="F7" i="15"/>
  <c r="F14" i="15"/>
  <c r="F12" i="15"/>
  <c r="F8" i="15"/>
  <c r="F11" i="15"/>
  <c r="F10" i="15"/>
  <c r="F6" i="15"/>
  <c r="G11" i="9"/>
  <c r="D13" i="10"/>
  <c r="G5" i="4"/>
  <c r="G4" i="4" s="1"/>
  <c r="B11" i="4"/>
  <c r="C11" i="10"/>
  <c r="G11" i="4"/>
  <c r="G11" i="10"/>
  <c r="F7" i="11"/>
  <c r="F7" i="12"/>
  <c r="B7" i="13"/>
  <c r="Z24" i="2" a="1"/>
  <c r="AF24" i="2" s="1"/>
  <c r="B9" i="7"/>
  <c r="B2" i="7" s="1"/>
  <c r="C9" i="8"/>
  <c r="F9" i="10"/>
  <c r="C11" i="4"/>
  <c r="B11" i="6"/>
  <c r="H9" i="8"/>
  <c r="B9" i="9"/>
  <c r="B2" i="9" s="1"/>
  <c r="H9" i="9"/>
  <c r="C11" i="14"/>
  <c r="R13" i="2" a="1"/>
  <c r="U13" i="2" s="1"/>
  <c r="G11" i="6"/>
  <c r="R16" i="2" a="1"/>
  <c r="C5" i="3"/>
  <c r="C4" i="3" s="1"/>
  <c r="D5" i="7"/>
  <c r="D4" i="7" s="1"/>
  <c r="C9" i="7"/>
  <c r="B9" i="8"/>
  <c r="B2" i="8" s="1"/>
  <c r="C9" i="10"/>
  <c r="D11" i="10"/>
  <c r="B5" i="15"/>
  <c r="F5" i="15" s="1"/>
  <c r="J26" i="2" a="1"/>
  <c r="P26" i="2" s="1"/>
  <c r="D5" i="3"/>
  <c r="D4" i="3" s="1"/>
  <c r="G13" i="4"/>
  <c r="G5" i="5"/>
  <c r="G4" i="5" s="1"/>
  <c r="B11" i="5"/>
  <c r="H11" i="6"/>
  <c r="H5" i="7"/>
  <c r="H4" i="7" s="1"/>
  <c r="E11" i="7"/>
  <c r="C9" i="9"/>
  <c r="F7" i="13"/>
  <c r="J14" i="2" a="1"/>
  <c r="M14" i="2" s="1"/>
  <c r="B18" i="2" a="1"/>
  <c r="D18" i="2" s="1"/>
  <c r="R14" i="2" a="1"/>
  <c r="W14" i="2" s="1"/>
  <c r="R18" i="2" a="1"/>
  <c r="V18" i="2" s="1"/>
  <c r="G5" i="3"/>
  <c r="G4" i="3" s="1"/>
  <c r="F9" i="3"/>
  <c r="C11" i="5"/>
  <c r="G13" i="5"/>
  <c r="G5" i="6"/>
  <c r="G4" i="6" s="1"/>
  <c r="G9" i="7"/>
  <c r="D9" i="8"/>
  <c r="D9" i="9"/>
  <c r="B9" i="10"/>
  <c r="B2" i="10" s="1"/>
  <c r="D9" i="14"/>
  <c r="D13" i="14"/>
  <c r="J25" i="2" a="1"/>
  <c r="K25" i="2" s="1"/>
  <c r="H11" i="5"/>
  <c r="B16" i="2" a="1"/>
  <c r="E16" i="2" s="1"/>
  <c r="H11" i="4"/>
  <c r="G11" i="5"/>
  <c r="C11" i="6"/>
  <c r="G13" i="6"/>
  <c r="C5" i="7"/>
  <c r="C4" i="7" s="1"/>
  <c r="H9" i="7"/>
  <c r="G9" i="8"/>
  <c r="G9" i="9"/>
  <c r="D5" i="10"/>
  <c r="D4" i="10" s="1"/>
  <c r="H13" i="14"/>
  <c r="V13" i="2"/>
  <c r="X16" i="2"/>
  <c r="H11" i="11"/>
  <c r="G9" i="12"/>
  <c r="H11" i="13"/>
  <c r="H5" i="4"/>
  <c r="H4" i="4" s="1"/>
  <c r="H13" i="4"/>
  <c r="H13" i="5"/>
  <c r="H5" i="6"/>
  <c r="H4" i="6" s="1"/>
  <c r="H13" i="6"/>
  <c r="H11" i="7"/>
  <c r="B5" i="8"/>
  <c r="C11" i="8"/>
  <c r="H11" i="9"/>
  <c r="B9" i="11"/>
  <c r="B2" i="11" s="1"/>
  <c r="C11" i="11"/>
  <c r="B15" i="11"/>
  <c r="B9" i="12"/>
  <c r="B2" i="12" s="1"/>
  <c r="C11" i="12"/>
  <c r="B15" i="12"/>
  <c r="B9" i="13"/>
  <c r="B2" i="13" s="1"/>
  <c r="C11" i="13"/>
  <c r="F9" i="14"/>
  <c r="D11" i="14"/>
  <c r="R23" i="2" a="1"/>
  <c r="R23" i="2" s="1"/>
  <c r="H13" i="3"/>
  <c r="G9" i="11"/>
  <c r="B31" i="2" a="1"/>
  <c r="C31" i="2" s="1"/>
  <c r="H5" i="5"/>
  <c r="H4" i="5" s="1"/>
  <c r="B14" i="2" a="1"/>
  <c r="F14" i="2" s="1"/>
  <c r="B15" i="2" a="1"/>
  <c r="E15" i="2" s="1"/>
  <c r="B17" i="2" a="1"/>
  <c r="G17" i="2" s="1"/>
  <c r="Z21" i="2"/>
  <c r="J24" i="2" a="1"/>
  <c r="L24" i="2" s="1"/>
  <c r="R25" i="2" a="1"/>
  <c r="X25" i="2" s="1"/>
  <c r="J31" i="2" a="1"/>
  <c r="P31" i="2" s="1"/>
  <c r="J32" i="2" a="1"/>
  <c r="P32" i="2" s="1"/>
  <c r="X36" i="2"/>
  <c r="H5" i="3"/>
  <c r="H4" i="3" s="1"/>
  <c r="C11" i="3"/>
  <c r="D13" i="3"/>
  <c r="C5" i="4"/>
  <c r="C4" i="4" s="1"/>
  <c r="B9" i="4"/>
  <c r="B2" i="4" s="1"/>
  <c r="D11" i="4"/>
  <c r="C13" i="4"/>
  <c r="C5" i="5"/>
  <c r="C4" i="5" s="1"/>
  <c r="D7" i="5"/>
  <c r="D11" i="5"/>
  <c r="C13" i="5"/>
  <c r="C5" i="6"/>
  <c r="C4" i="6" s="1"/>
  <c r="B9" i="6"/>
  <c r="B2" i="6" s="1"/>
  <c r="D11" i="6"/>
  <c r="C13" i="6"/>
  <c r="B7" i="7"/>
  <c r="D9" i="7"/>
  <c r="C11" i="7"/>
  <c r="B13" i="7"/>
  <c r="H5" i="8"/>
  <c r="H4" i="8" s="1"/>
  <c r="F9" i="8"/>
  <c r="D11" i="8"/>
  <c r="D5" i="9"/>
  <c r="D4" i="9" s="1"/>
  <c r="C11" i="9"/>
  <c r="D13" i="9"/>
  <c r="C9" i="11"/>
  <c r="D11" i="11"/>
  <c r="C9" i="12"/>
  <c r="D11" i="12"/>
  <c r="C9" i="13"/>
  <c r="D11" i="13"/>
  <c r="B9" i="14"/>
  <c r="B2" i="14" s="1"/>
  <c r="G9" i="14"/>
  <c r="G11" i="14"/>
  <c r="G11" i="3"/>
  <c r="H11" i="12"/>
  <c r="G9" i="13"/>
  <c r="Z23" i="2" a="1"/>
  <c r="AF23" i="2" s="1"/>
  <c r="Z26" i="2" a="1"/>
  <c r="Z26" i="2" s="1"/>
  <c r="B11" i="3"/>
  <c r="C13" i="3"/>
  <c r="R15" i="2" a="1"/>
  <c r="V15" i="2" s="1"/>
  <c r="R17" i="2" a="1"/>
  <c r="U17" i="2" s="1"/>
  <c r="J22" i="2" a="1"/>
  <c r="O22" i="2" s="1"/>
  <c r="J23" i="2" a="1"/>
  <c r="P23" i="2" s="1"/>
  <c r="R24" i="2" a="1"/>
  <c r="S24" i="2" s="1"/>
  <c r="Z25" i="2" a="1"/>
  <c r="AF25" i="2" s="1"/>
  <c r="J27" i="2" a="1"/>
  <c r="J27" i="2" s="1"/>
  <c r="R31" i="2" a="1"/>
  <c r="W31" i="2" s="1"/>
  <c r="R32" i="2" a="1"/>
  <c r="R32" i="2" s="1"/>
  <c r="F11" i="3"/>
  <c r="G13" i="3"/>
  <c r="D5" i="4"/>
  <c r="D4" i="4" s="1"/>
  <c r="F9" i="4"/>
  <c r="F11" i="4"/>
  <c r="D13" i="4"/>
  <c r="D5" i="5"/>
  <c r="D4" i="5" s="1"/>
  <c r="H7" i="5"/>
  <c r="F11" i="5"/>
  <c r="D13" i="5"/>
  <c r="D5" i="6"/>
  <c r="D4" i="6" s="1"/>
  <c r="F9" i="6"/>
  <c r="F11" i="6"/>
  <c r="D13" i="6"/>
  <c r="G7" i="7"/>
  <c r="F9" i="7"/>
  <c r="H13" i="7"/>
  <c r="H11" i="8"/>
  <c r="H5" i="9"/>
  <c r="H4" i="9" s="1"/>
  <c r="F9" i="9"/>
  <c r="D11" i="9"/>
  <c r="H13" i="9"/>
  <c r="H5" i="10"/>
  <c r="H4" i="10" s="1"/>
  <c r="G9" i="10"/>
  <c r="H11" i="10"/>
  <c r="B7" i="11"/>
  <c r="F9" i="11"/>
  <c r="G11" i="11"/>
  <c r="B7" i="12"/>
  <c r="F9" i="12"/>
  <c r="G11" i="12"/>
  <c r="F9" i="13"/>
  <c r="G11" i="13"/>
  <c r="C9" i="14"/>
  <c r="H9" i="14"/>
  <c r="H11" i="14"/>
  <c r="H13" i="2"/>
  <c r="E13" i="2"/>
  <c r="D13" i="2"/>
  <c r="G13" i="2"/>
  <c r="C13" i="2"/>
  <c r="F13" i="2"/>
  <c r="B13" i="2"/>
  <c r="AD22" i="2"/>
  <c r="Z22" i="2"/>
  <c r="AF22" i="2"/>
  <c r="AA22" i="2"/>
  <c r="AC22" i="2"/>
  <c r="AE22" i="2"/>
  <c r="AB22" i="2"/>
  <c r="N17" i="2"/>
  <c r="J17" i="2"/>
  <c r="O17" i="2"/>
  <c r="M17" i="2"/>
  <c r="P17" i="2"/>
  <c r="K17" i="2"/>
  <c r="L17" i="2"/>
  <c r="B25" i="2" a="1"/>
  <c r="J12" i="2"/>
  <c r="Z14" i="2" a="1"/>
  <c r="Z15" i="2" a="1"/>
  <c r="Z16" i="2" a="1"/>
  <c r="Z17" i="2" a="1"/>
  <c r="J18" i="2" a="1"/>
  <c r="Z18" i="2" a="1"/>
  <c r="U16" i="2"/>
  <c r="B22" i="2" a="1"/>
  <c r="R22" i="2" a="1"/>
  <c r="B23" i="2" a="1"/>
  <c r="Z36" i="2" a="1"/>
  <c r="Z32" i="2" a="1"/>
  <c r="Z35" i="2" a="1"/>
  <c r="Z34" i="2" a="1"/>
  <c r="Z33" i="2" a="1"/>
  <c r="AB31" i="2"/>
  <c r="D32" i="2"/>
  <c r="B24" i="2" a="1"/>
  <c r="AE24" i="2"/>
  <c r="AA24" i="2"/>
  <c r="AD24" i="2"/>
  <c r="Z24" i="2"/>
  <c r="V25" i="2"/>
  <c r="B26" i="2" a="1"/>
  <c r="K26" i="2"/>
  <c r="N26" i="2"/>
  <c r="R26" i="2" a="1"/>
  <c r="B27" i="2" a="1"/>
  <c r="N27" i="2"/>
  <c r="R27" i="2" a="1"/>
  <c r="Z27" i="2" a="1"/>
  <c r="B36" i="2" a="1"/>
  <c r="B35" i="2" a="1"/>
  <c r="B34" i="2" a="1"/>
  <c r="B33" i="2" a="1"/>
  <c r="B30" i="2"/>
  <c r="AC31" i="2"/>
  <c r="E32" i="2"/>
  <c r="B12" i="2"/>
  <c r="J13" i="2" a="1"/>
  <c r="Z13" i="2" a="1"/>
  <c r="S14" i="2"/>
  <c r="S16" i="2"/>
  <c r="H17" i="2"/>
  <c r="AB24" i="2"/>
  <c r="L26" i="2"/>
  <c r="M33" i="2"/>
  <c r="O33" i="2"/>
  <c r="K33" i="2"/>
  <c r="N33" i="2"/>
  <c r="J33" i="2"/>
  <c r="Z30" i="2"/>
  <c r="L33" i="2"/>
  <c r="V16" i="2"/>
  <c r="R16" i="2"/>
  <c r="W16" i="2"/>
  <c r="T14" i="2"/>
  <c r="J15" i="2" a="1"/>
  <c r="J16" i="2" a="1"/>
  <c r="T16" i="2"/>
  <c r="AC24" i="2"/>
  <c r="K31" i="2"/>
  <c r="AE31" i="2"/>
  <c r="AA31" i="2"/>
  <c r="AD31" i="2"/>
  <c r="Z31" i="2"/>
  <c r="G32" i="2"/>
  <c r="C32" i="2"/>
  <c r="F32" i="2"/>
  <c r="B32" i="2"/>
  <c r="P33" i="2"/>
  <c r="J30" i="2"/>
  <c r="F7" i="3"/>
  <c r="B7" i="3"/>
  <c r="G7" i="3"/>
  <c r="C7" i="3"/>
  <c r="B9" i="3"/>
  <c r="B2" i="3" s="1"/>
  <c r="E7" i="4"/>
  <c r="U36" i="2"/>
  <c r="V36" i="2"/>
  <c r="R36" i="2"/>
  <c r="R30" i="2"/>
  <c r="J34" i="2" a="1"/>
  <c r="J35" i="2" a="1"/>
  <c r="J36" i="2" a="1"/>
  <c r="W36" i="2"/>
  <c r="D7" i="3"/>
  <c r="B15" i="3"/>
  <c r="C15" i="3"/>
  <c r="F7" i="4"/>
  <c r="B7" i="4"/>
  <c r="G7" i="4"/>
  <c r="C7" i="4"/>
  <c r="R33" i="2" a="1"/>
  <c r="R34" i="2" a="1"/>
  <c r="R35" i="2" a="1"/>
  <c r="S36" i="2"/>
  <c r="H7" i="3"/>
  <c r="G9" i="3"/>
  <c r="C9" i="3"/>
  <c r="H9" i="3"/>
  <c r="D9" i="3"/>
  <c r="D7" i="4"/>
  <c r="B5" i="3"/>
  <c r="F5" i="3"/>
  <c r="F4" i="3" s="1"/>
  <c r="E11" i="3"/>
  <c r="B13" i="3"/>
  <c r="F13" i="3"/>
  <c r="B5" i="4"/>
  <c r="F5" i="4"/>
  <c r="F4" i="4" s="1"/>
  <c r="D9" i="4"/>
  <c r="H9" i="4"/>
  <c r="B13" i="4"/>
  <c r="F13" i="4"/>
  <c r="C15" i="4"/>
  <c r="B5" i="5"/>
  <c r="F5" i="5"/>
  <c r="F4" i="5" s="1"/>
  <c r="C7" i="5"/>
  <c r="G7" i="5"/>
  <c r="D9" i="5"/>
  <c r="H9" i="5"/>
  <c r="B13" i="5"/>
  <c r="F13" i="5"/>
  <c r="C15" i="5"/>
  <c r="B5" i="6"/>
  <c r="F5" i="6"/>
  <c r="F4" i="6" s="1"/>
  <c r="C7" i="6"/>
  <c r="G7" i="6"/>
  <c r="D9" i="6"/>
  <c r="H9" i="6"/>
  <c r="B13" i="6"/>
  <c r="F13" i="6"/>
  <c r="C15" i="6"/>
  <c r="B5" i="7"/>
  <c r="F5" i="7"/>
  <c r="F4" i="7" s="1"/>
  <c r="F11" i="7"/>
  <c r="B11" i="7"/>
  <c r="G11" i="7"/>
  <c r="C15" i="7"/>
  <c r="C7" i="8"/>
  <c r="D13" i="8"/>
  <c r="B15" i="8"/>
  <c r="E9" i="4"/>
  <c r="E9" i="5"/>
  <c r="D7" i="6"/>
  <c r="H7" i="6"/>
  <c r="E9" i="6"/>
  <c r="H7" i="7"/>
  <c r="D7" i="7"/>
  <c r="F7" i="7"/>
  <c r="G13" i="7"/>
  <c r="C13" i="7"/>
  <c r="F13" i="7"/>
  <c r="G5" i="8"/>
  <c r="G4" i="8" s="1"/>
  <c r="C5" i="8"/>
  <c r="C4" i="8" s="1"/>
  <c r="F5" i="8"/>
  <c r="F4" i="8" s="1"/>
  <c r="F11" i="8"/>
  <c r="B11" i="8"/>
  <c r="G11" i="8"/>
  <c r="E7" i="5"/>
  <c r="B9" i="5"/>
  <c r="B2" i="5" s="1"/>
  <c r="F9" i="5"/>
  <c r="E7" i="6"/>
  <c r="H7" i="8"/>
  <c r="D7" i="8"/>
  <c r="F7" i="8"/>
  <c r="G13" i="8"/>
  <c r="C13" i="8"/>
  <c r="F13" i="8"/>
  <c r="H7" i="9"/>
  <c r="D7" i="9"/>
  <c r="G7" i="9"/>
  <c r="C7" i="9"/>
  <c r="F7" i="9"/>
  <c r="B7" i="9"/>
  <c r="D11" i="3"/>
  <c r="C9" i="4"/>
  <c r="B7" i="5"/>
  <c r="C9" i="5"/>
  <c r="B7" i="6"/>
  <c r="C9" i="6"/>
  <c r="E5" i="7"/>
  <c r="E4" i="7" s="1"/>
  <c r="C7" i="7"/>
  <c r="D13" i="7"/>
  <c r="D5" i="8"/>
  <c r="D4" i="8" s="1"/>
  <c r="B7" i="8"/>
  <c r="G7" i="8"/>
  <c r="B13" i="8"/>
  <c r="H13" i="8"/>
  <c r="E7" i="9"/>
  <c r="C15" i="9"/>
  <c r="B15" i="9"/>
  <c r="E5" i="9"/>
  <c r="E4" i="9" s="1"/>
  <c r="E13" i="9"/>
  <c r="E5" i="10"/>
  <c r="E4" i="10" s="1"/>
  <c r="B7" i="10"/>
  <c r="F7" i="10"/>
  <c r="E13" i="10"/>
  <c r="B15" i="10"/>
  <c r="E5" i="11"/>
  <c r="E4" i="11" s="1"/>
  <c r="E13" i="11"/>
  <c r="E5" i="12"/>
  <c r="E4" i="12" s="1"/>
  <c r="E13" i="12"/>
  <c r="E5" i="13"/>
  <c r="E4" i="13" s="1"/>
  <c r="E13" i="13"/>
  <c r="B15" i="13"/>
  <c r="E5" i="14"/>
  <c r="E4" i="14" s="1"/>
  <c r="B7" i="14"/>
  <c r="F7" i="14"/>
  <c r="E13" i="14"/>
  <c r="B15" i="14"/>
  <c r="B5" i="9"/>
  <c r="F5" i="9"/>
  <c r="F4" i="9" s="1"/>
  <c r="E11" i="9"/>
  <c r="B13" i="9"/>
  <c r="F13" i="9"/>
  <c r="B5" i="10"/>
  <c r="F5" i="10"/>
  <c r="F4" i="10" s="1"/>
  <c r="C7" i="10"/>
  <c r="G7" i="10"/>
  <c r="D9" i="10"/>
  <c r="H9" i="10"/>
  <c r="E11" i="10"/>
  <c r="B13" i="10"/>
  <c r="F13" i="10"/>
  <c r="B5" i="11"/>
  <c r="F5" i="11"/>
  <c r="F4" i="11" s="1"/>
  <c r="C7" i="11"/>
  <c r="G7" i="11"/>
  <c r="D9" i="11"/>
  <c r="H9" i="11"/>
  <c r="E11" i="11"/>
  <c r="B13" i="11"/>
  <c r="F13" i="11"/>
  <c r="B5" i="12"/>
  <c r="F5" i="12"/>
  <c r="F4" i="12" s="1"/>
  <c r="C7" i="12"/>
  <c r="G7" i="12"/>
  <c r="D9" i="12"/>
  <c r="H9" i="12"/>
  <c r="E11" i="12"/>
  <c r="B13" i="12"/>
  <c r="F13" i="12"/>
  <c r="B5" i="13"/>
  <c r="F5" i="13"/>
  <c r="F4" i="13" s="1"/>
  <c r="C7" i="13"/>
  <c r="G7" i="13"/>
  <c r="D9" i="13"/>
  <c r="H9" i="13"/>
  <c r="E11" i="13"/>
  <c r="B13" i="13"/>
  <c r="F13" i="13"/>
  <c r="B5" i="14"/>
  <c r="F5" i="14"/>
  <c r="F4" i="14" s="1"/>
  <c r="C7" i="14"/>
  <c r="G7" i="14"/>
  <c r="E11" i="14"/>
  <c r="B13" i="14"/>
  <c r="F13" i="14"/>
  <c r="C5" i="9"/>
  <c r="C4" i="9" s="1"/>
  <c r="B11" i="9"/>
  <c r="C13" i="9"/>
  <c r="C5" i="10"/>
  <c r="C4" i="10" s="1"/>
  <c r="D7" i="10"/>
  <c r="H7" i="10"/>
  <c r="B11" i="10"/>
  <c r="C13" i="10"/>
  <c r="C5" i="11"/>
  <c r="C4" i="11" s="1"/>
  <c r="G5" i="11"/>
  <c r="G4" i="11" s="1"/>
  <c r="D7" i="11"/>
  <c r="H7" i="11"/>
  <c r="B11" i="11"/>
  <c r="C13" i="11"/>
  <c r="G13" i="11"/>
  <c r="C5" i="12"/>
  <c r="C4" i="12" s="1"/>
  <c r="G5" i="12"/>
  <c r="G4" i="12" s="1"/>
  <c r="D7" i="12"/>
  <c r="H7" i="12"/>
  <c r="B11" i="12"/>
  <c r="C13" i="12"/>
  <c r="G13" i="12"/>
  <c r="C5" i="13"/>
  <c r="C4" i="13" s="1"/>
  <c r="G5" i="13"/>
  <c r="G4" i="13" s="1"/>
  <c r="D7" i="13"/>
  <c r="H7" i="13"/>
  <c r="B11" i="13"/>
  <c r="C13" i="13"/>
  <c r="G13" i="13"/>
  <c r="C5" i="14"/>
  <c r="C4" i="14" s="1"/>
  <c r="G5" i="14"/>
  <c r="G4" i="14" s="1"/>
  <c r="D7" i="14"/>
  <c r="H7" i="14"/>
  <c r="B11" i="14"/>
  <c r="C13" i="14"/>
  <c r="D5" i="11"/>
  <c r="D4" i="11" s="1"/>
  <c r="D13" i="11"/>
  <c r="D5" i="12"/>
  <c r="D4" i="12" s="1"/>
  <c r="D13" i="12"/>
  <c r="D5" i="13"/>
  <c r="D4" i="13" s="1"/>
  <c r="D13" i="13"/>
  <c r="D5" i="14"/>
  <c r="D4" i="14" s="1"/>
  <c r="O14" i="2" l="1"/>
  <c r="AD23" i="2"/>
  <c r="D17" i="2"/>
  <c r="J14" i="2"/>
  <c r="AD25" i="2"/>
  <c r="J32" i="2"/>
  <c r="AD26" i="2"/>
  <c r="V23" i="2"/>
  <c r="N14" i="2"/>
  <c r="G15" i="2"/>
  <c r="P14" i="2"/>
  <c r="R13" i="2"/>
  <c r="J22" i="2"/>
  <c r="K14" i="2"/>
  <c r="L14" i="2"/>
  <c r="S31" i="2"/>
  <c r="B17" i="2"/>
  <c r="U25" i="2"/>
  <c r="J23" i="2"/>
  <c r="G31" i="2"/>
  <c r="L23" i="2"/>
  <c r="H15" i="2"/>
  <c r="S25" i="2"/>
  <c r="N23" i="2"/>
  <c r="B15" i="2"/>
  <c r="T31" i="2"/>
  <c r="B31" i="2"/>
  <c r="G16" i="2"/>
  <c r="M23" i="2"/>
  <c r="X31" i="2"/>
  <c r="C15" i="2"/>
  <c r="U31" i="2"/>
  <c r="W25" i="2"/>
  <c r="K23" i="2"/>
  <c r="F15" i="2"/>
  <c r="D31" i="2"/>
  <c r="R31" i="2"/>
  <c r="F31" i="2"/>
  <c r="H31" i="2"/>
  <c r="T25" i="2"/>
  <c r="E31" i="2"/>
  <c r="R25" i="2"/>
  <c r="O23" i="2"/>
  <c r="V31" i="2"/>
  <c r="D15" i="2"/>
  <c r="O24" i="2"/>
  <c r="N22" i="2"/>
  <c r="K27" i="2"/>
  <c r="L27" i="2"/>
  <c r="O27" i="2"/>
  <c r="F18" i="2"/>
  <c r="O31" i="2"/>
  <c r="AC23" i="2"/>
  <c r="AB23" i="2"/>
  <c r="C17" i="2"/>
  <c r="AA23" i="2"/>
  <c r="X23" i="2"/>
  <c r="U18" i="2"/>
  <c r="S23" i="2"/>
  <c r="F17" i="2"/>
  <c r="J31" i="2"/>
  <c r="U23" i="2"/>
  <c r="T23" i="2"/>
  <c r="O25" i="2"/>
  <c r="AE23" i="2"/>
  <c r="L31" i="2"/>
  <c r="E17" i="2"/>
  <c r="W23" i="2"/>
  <c r="N31" i="2"/>
  <c r="M25" i="2"/>
  <c r="L25" i="2"/>
  <c r="S18" i="2"/>
  <c r="X15" i="2"/>
  <c r="Z23" i="2"/>
  <c r="M31" i="2"/>
  <c r="C14" i="2"/>
  <c r="X18" i="2"/>
  <c r="V32" i="2"/>
  <c r="M26" i="2"/>
  <c r="U24" i="2"/>
  <c r="T15" i="2"/>
  <c r="R18" i="2"/>
  <c r="AB25" i="2"/>
  <c r="N25" i="2"/>
  <c r="R14" i="2"/>
  <c r="O26" i="2"/>
  <c r="R17" i="2"/>
  <c r="W13" i="2"/>
  <c r="T13" i="2"/>
  <c r="X13" i="2"/>
  <c r="P25" i="2"/>
  <c r="U14" i="2"/>
  <c r="W18" i="2"/>
  <c r="J25" i="2"/>
  <c r="E14" i="2"/>
  <c r="T18" i="2"/>
  <c r="W32" i="2"/>
  <c r="M24" i="2"/>
  <c r="T17" i="2"/>
  <c r="X14" i="2"/>
  <c r="V14" i="2"/>
  <c r="J26" i="2"/>
  <c r="S13" i="2"/>
  <c r="W24" i="2"/>
  <c r="S32" i="2"/>
  <c r="N32" i="2"/>
  <c r="T24" i="2"/>
  <c r="H18" i="2"/>
  <c r="S15" i="2"/>
  <c r="B16" i="2"/>
  <c r="M32" i="2"/>
  <c r="AA26" i="2"/>
  <c r="R24" i="2"/>
  <c r="W15" i="2"/>
  <c r="E18" i="2"/>
  <c r="K32" i="2"/>
  <c r="C18" i="2"/>
  <c r="H16" i="2"/>
  <c r="G18" i="2"/>
  <c r="F16" i="2"/>
  <c r="AE26" i="2"/>
  <c r="X24" i="2"/>
  <c r="U15" i="2"/>
  <c r="V24" i="2"/>
  <c r="R15" i="2"/>
  <c r="O32" i="2"/>
  <c r="AB26" i="2"/>
  <c r="C16" i="2"/>
  <c r="B18" i="2"/>
  <c r="L32" i="2"/>
  <c r="D16" i="2"/>
  <c r="J24" i="2"/>
  <c r="AA25" i="2"/>
  <c r="V17" i="2"/>
  <c r="P24" i="2"/>
  <c r="W17" i="2"/>
  <c r="U32" i="2"/>
  <c r="T32" i="2"/>
  <c r="X32" i="2"/>
  <c r="AF26" i="2"/>
  <c r="AC26" i="2"/>
  <c r="N24" i="2"/>
  <c r="X17" i="2"/>
  <c r="AE25" i="2"/>
  <c r="D14" i="2"/>
  <c r="B14" i="2"/>
  <c r="AC25" i="2"/>
  <c r="K24" i="2"/>
  <c r="G14" i="2"/>
  <c r="S17" i="2"/>
  <c r="H14" i="2"/>
  <c r="Z25" i="2"/>
  <c r="P27" i="2"/>
  <c r="M27" i="2"/>
  <c r="L22" i="2"/>
  <c r="P22" i="2"/>
  <c r="K22" i="2"/>
  <c r="M22" i="2"/>
  <c r="V34" i="2"/>
  <c r="R34" i="2"/>
  <c r="W34" i="2"/>
  <c r="T34" i="2"/>
  <c r="X34" i="2"/>
  <c r="S34" i="2"/>
  <c r="U34" i="2"/>
  <c r="N34" i="2"/>
  <c r="J34" i="2"/>
  <c r="L34" i="2"/>
  <c r="O34" i="2"/>
  <c r="M34" i="2"/>
  <c r="P34" i="2"/>
  <c r="K34" i="2"/>
  <c r="AD13" i="2"/>
  <c r="AB13" i="2"/>
  <c r="AC13" i="2"/>
  <c r="AF13" i="2"/>
  <c r="AA13" i="2"/>
  <c r="AE13" i="2"/>
  <c r="Z13" i="2"/>
  <c r="F36" i="2"/>
  <c r="B36" i="2"/>
  <c r="G36" i="2"/>
  <c r="E36" i="2"/>
  <c r="D36" i="2"/>
  <c r="H36" i="2"/>
  <c r="C36" i="2"/>
  <c r="W26" i="2"/>
  <c r="S26" i="2"/>
  <c r="V26" i="2"/>
  <c r="R26" i="2"/>
  <c r="U26" i="2"/>
  <c r="T26" i="2"/>
  <c r="X26" i="2"/>
  <c r="AD35" i="2"/>
  <c r="Z35" i="2"/>
  <c r="AB35" i="2"/>
  <c r="AF35" i="2"/>
  <c r="AA35" i="2"/>
  <c r="AE35" i="2"/>
  <c r="AC35" i="2"/>
  <c r="F22" i="2"/>
  <c r="B22" i="2"/>
  <c r="E22" i="2"/>
  <c r="H22" i="2"/>
  <c r="D22" i="2"/>
  <c r="C22" i="2"/>
  <c r="G22" i="2"/>
  <c r="N18" i="2"/>
  <c r="J18" i="2"/>
  <c r="M18" i="2"/>
  <c r="L18" i="2"/>
  <c r="P18" i="2"/>
  <c r="K18" i="2"/>
  <c r="O18" i="2"/>
  <c r="AD16" i="2"/>
  <c r="Z16" i="2"/>
  <c r="AB16" i="2"/>
  <c r="AC16" i="2"/>
  <c r="AF16" i="2"/>
  <c r="AA16" i="2"/>
  <c r="AE16" i="2"/>
  <c r="AD14" i="2"/>
  <c r="Z14" i="2"/>
  <c r="AB14" i="2"/>
  <c r="AC14" i="2"/>
  <c r="AF14" i="2"/>
  <c r="AA14" i="2"/>
  <c r="AE14" i="2"/>
  <c r="V33" i="2"/>
  <c r="R33" i="2"/>
  <c r="W33" i="2"/>
  <c r="T33" i="2"/>
  <c r="X33" i="2"/>
  <c r="S33" i="2"/>
  <c r="U33" i="2"/>
  <c r="N16" i="2"/>
  <c r="J16" i="2"/>
  <c r="O16" i="2"/>
  <c r="M16" i="2"/>
  <c r="L16" i="2"/>
  <c r="P16" i="2"/>
  <c r="K16" i="2"/>
  <c r="L13" i="2"/>
  <c r="M13" i="2"/>
  <c r="P13" i="2"/>
  <c r="O13" i="2"/>
  <c r="K13" i="2"/>
  <c r="N13" i="2"/>
  <c r="J13" i="2"/>
  <c r="E33" i="2"/>
  <c r="G33" i="2"/>
  <c r="C33" i="2"/>
  <c r="F33" i="2"/>
  <c r="B33" i="2"/>
  <c r="H33" i="2"/>
  <c r="D33" i="2"/>
  <c r="AE27" i="2"/>
  <c r="AA27" i="2"/>
  <c r="AD27" i="2"/>
  <c r="Z27" i="2"/>
  <c r="AC27" i="2"/>
  <c r="AB27" i="2"/>
  <c r="AF27" i="2"/>
  <c r="G26" i="2"/>
  <c r="C26" i="2"/>
  <c r="F26" i="2"/>
  <c r="B26" i="2"/>
  <c r="E26" i="2"/>
  <c r="D26" i="2"/>
  <c r="H26" i="2"/>
  <c r="AC32" i="2"/>
  <c r="AE32" i="2"/>
  <c r="AA32" i="2"/>
  <c r="AD32" i="2"/>
  <c r="Z32" i="2"/>
  <c r="AF32" i="2"/>
  <c r="AB32" i="2"/>
  <c r="N36" i="2"/>
  <c r="J36" i="2"/>
  <c r="L36" i="2"/>
  <c r="P36" i="2"/>
  <c r="K36" i="2"/>
  <c r="O36" i="2"/>
  <c r="M36" i="2"/>
  <c r="F34" i="2"/>
  <c r="B34" i="2"/>
  <c r="G34" i="2"/>
  <c r="D34" i="2"/>
  <c r="H34" i="2"/>
  <c r="C34" i="2"/>
  <c r="E34" i="2"/>
  <c r="W27" i="2"/>
  <c r="S27" i="2"/>
  <c r="V27" i="2"/>
  <c r="R27" i="2"/>
  <c r="U27" i="2"/>
  <c r="T27" i="2"/>
  <c r="X27" i="2"/>
  <c r="G24" i="2"/>
  <c r="C24" i="2"/>
  <c r="F24" i="2"/>
  <c r="B24" i="2"/>
  <c r="E24" i="2"/>
  <c r="D24" i="2"/>
  <c r="H24" i="2"/>
  <c r="AD33" i="2"/>
  <c r="Z33" i="2"/>
  <c r="AB33" i="2"/>
  <c r="AE33" i="2"/>
  <c r="AC33" i="2"/>
  <c r="AF33" i="2"/>
  <c r="AA33" i="2"/>
  <c r="AC36" i="2"/>
  <c r="AD36" i="2"/>
  <c r="Z36" i="2"/>
  <c r="AA36" i="2"/>
  <c r="AF36" i="2"/>
  <c r="AE36" i="2"/>
  <c r="AB36" i="2"/>
  <c r="G23" i="2"/>
  <c r="F23" i="2"/>
  <c r="B23" i="2"/>
  <c r="E23" i="2"/>
  <c r="C23" i="2"/>
  <c r="D23" i="2"/>
  <c r="H23" i="2"/>
  <c r="AD18" i="2"/>
  <c r="Z18" i="2"/>
  <c r="AB18" i="2"/>
  <c r="AC18" i="2"/>
  <c r="AF18" i="2"/>
  <c r="AA18" i="2"/>
  <c r="AE18" i="2"/>
  <c r="AD17" i="2"/>
  <c r="Z17" i="2"/>
  <c r="AE17" i="2"/>
  <c r="AC17" i="2"/>
  <c r="AF17" i="2"/>
  <c r="AA17" i="2"/>
  <c r="AB17" i="2"/>
  <c r="AD15" i="2"/>
  <c r="Z15" i="2"/>
  <c r="AC15" i="2"/>
  <c r="AF15" i="2"/>
  <c r="AA15" i="2"/>
  <c r="AE15" i="2"/>
  <c r="AB15" i="2"/>
  <c r="V35" i="2"/>
  <c r="R35" i="2"/>
  <c r="W35" i="2"/>
  <c r="U35" i="2"/>
  <c r="T35" i="2"/>
  <c r="X35" i="2"/>
  <c r="S35" i="2"/>
  <c r="N35" i="2"/>
  <c r="J35" i="2"/>
  <c r="L35" i="2"/>
  <c r="P35" i="2"/>
  <c r="K35" i="2"/>
  <c r="O35" i="2"/>
  <c r="M35" i="2"/>
  <c r="N15" i="2"/>
  <c r="J15" i="2"/>
  <c r="O15" i="2"/>
  <c r="M15" i="2"/>
  <c r="L15" i="2"/>
  <c r="P15" i="2"/>
  <c r="K15" i="2"/>
  <c r="F35" i="2"/>
  <c r="B35" i="2"/>
  <c r="G35" i="2"/>
  <c r="D35" i="2"/>
  <c r="H35" i="2"/>
  <c r="C35" i="2"/>
  <c r="E35" i="2"/>
  <c r="G27" i="2"/>
  <c r="C27" i="2"/>
  <c r="F27" i="2"/>
  <c r="B27" i="2"/>
  <c r="E27" i="2"/>
  <c r="D27" i="2"/>
  <c r="H27" i="2"/>
  <c r="AD34" i="2"/>
  <c r="Z34" i="2"/>
  <c r="AB34" i="2"/>
  <c r="AE34" i="2"/>
  <c r="AC34" i="2"/>
  <c r="AA34" i="2"/>
  <c r="AF34" i="2"/>
  <c r="V22" i="2"/>
  <c r="R22" i="2"/>
  <c r="U22" i="2"/>
  <c r="X22" i="2"/>
  <c r="S22" i="2"/>
  <c r="T22" i="2"/>
  <c r="W22" i="2"/>
  <c r="G25" i="2"/>
  <c r="C25" i="2"/>
  <c r="F25" i="2"/>
  <c r="B25" i="2"/>
  <c r="E25" i="2"/>
  <c r="D25" i="2"/>
  <c r="H25" i="2"/>
  <c r="I7" i="2" l="1"/>
  <c r="G6" i="7" l="1"/>
  <c r="D8" i="7"/>
  <c r="F8" i="7"/>
  <c r="B6" i="7"/>
  <c r="B8" i="7"/>
  <c r="B16" i="4"/>
  <c r="H6" i="7"/>
  <c r="C6" i="7"/>
  <c r="F6" i="7"/>
  <c r="C8" i="7"/>
  <c r="E6" i="7"/>
  <c r="G8" i="7"/>
  <c r="D6" i="7"/>
  <c r="C16" i="4"/>
  <c r="E8" i="7"/>
  <c r="H8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<sst xmlns="http://schemas.openxmlformats.org/spreadsheetml/2006/main" count="1864" uniqueCount="774">
  <si>
    <t>AÑO</t>
  </si>
  <si>
    <t>INICIO DE LA SEMANA</t>
  </si>
  <si>
    <t>MOSTRAR DÍAS FESTIVOS</t>
  </si>
  <si>
    <t>VISTA ANUAL</t>
  </si>
  <si>
    <t xml:space="preserve"> </t>
  </si>
  <si>
    <t>DÍA</t>
  </si>
  <si>
    <t>FESTIVIDAD</t>
  </si>
  <si>
    <t>CAE EN</t>
  </si>
  <si>
    <t>DÍA DE LA SEMANA</t>
  </si>
  <si>
    <t>CORREGIDO</t>
  </si>
  <si>
    <t>MOSTRAR</t>
  </si>
  <si>
    <t>Día de la Independencia</t>
  </si>
  <si>
    <t>Día del Trabajo</t>
  </si>
  <si>
    <t>Navidad</t>
  </si>
  <si>
    <t>LUNES</t>
  </si>
  <si>
    <t>Año Nuevo</t>
  </si>
  <si>
    <t>Viernes Santo</t>
  </si>
  <si>
    <t>Día de la Inmaculada Concepción</t>
  </si>
  <si>
    <t>Reyes Magos</t>
  </si>
  <si>
    <t>Asunción de la Virgen</t>
  </si>
  <si>
    <t>Fecha</t>
  </si>
  <si>
    <t>Celebración</t>
  </si>
  <si>
    <t>País / Región</t>
  </si>
  <si>
    <t>Días festivos de:</t>
  </si>
  <si>
    <t>FERIADOS!</t>
  </si>
  <si>
    <t>Jueves Santo</t>
  </si>
  <si>
    <t>L</t>
  </si>
  <si>
    <t>M</t>
  </si>
  <si>
    <t>J</t>
  </si>
  <si>
    <t>V</t>
  </si>
  <si>
    <t>S</t>
  </si>
  <si>
    <t>D</t>
  </si>
  <si>
    <t>Colombia</t>
  </si>
  <si>
    <t>Día de los esposos (San José)</t>
  </si>
  <si>
    <t>Día de la Ascensión</t>
  </si>
  <si>
    <t>Corpus Christi</t>
  </si>
  <si>
    <t>Sagrado Corazón de Jesús</t>
  </si>
  <si>
    <t>San Pedro y San Pablo</t>
  </si>
  <si>
    <t>Batalla de Boyacá</t>
  </si>
  <si>
    <t>Día de la raza</t>
  </si>
  <si>
    <t>Día de todos los santos</t>
  </si>
  <si>
    <t>Independencia de Cartagena</t>
  </si>
  <si>
    <t>Fecha límite de renovación de matrícula mercantil</t>
  </si>
  <si>
    <t>fecha límite renovació Registro Único de Proponentes</t>
  </si>
  <si>
    <t>NOTAS MES</t>
  </si>
  <si>
    <t>GRANDES CONTRIBUYENTES</t>
  </si>
  <si>
    <t>Calificados por la DIAN para los años 2022 y 2023</t>
  </si>
  <si>
    <t>AÑO 2023</t>
  </si>
  <si>
    <t>Pago primera cuota (1)</t>
  </si>
  <si>
    <t>Declaración y pago segunda cuota y  primera cuota de sobretasa instituciones financieras (2) (3)</t>
  </si>
  <si>
    <t>Pago tercera cuota y segunda cuota sobretasa instituciones financieras (3)</t>
  </si>
  <si>
    <t>Mes</t>
  </si>
  <si>
    <t>Calendario</t>
  </si>
  <si>
    <t>Enero</t>
  </si>
  <si>
    <t>Último dígito del NIT</t>
  </si>
  <si>
    <t>Fecha límite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</si>
  <si>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</si>
  <si>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</si>
  <si>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</si>
  <si>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</si>
  <si>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</si>
  <si>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</si>
  <si>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</si>
  <si>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</si>
  <si>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</si>
  <si>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</si>
  <si>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</si>
  <si>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Planeador</t>
  </si>
  <si>
    <t>CONTENIDO GENERAL DEL CALENDARIO</t>
  </si>
  <si>
    <t>Grandes Contribuyentes</t>
  </si>
  <si>
    <t>1.1.</t>
  </si>
  <si>
    <t>Personas Jurídicas y demás contribuyentes diferentes a grandes contribuyentes</t>
  </si>
  <si>
    <t xml:space="preserve">PERSONAS JURÍDICAS  Y DEMÁS CONTRIBUYENTES </t>
  </si>
  <si>
    <t>Diferentes a los calificados por la DIAN como grandes contribuyentes</t>
  </si>
  <si>
    <t>01 al 05</t>
  </si>
  <si>
    <t>06 al 10</t>
  </si>
  <si>
    <t>11 al 15</t>
  </si>
  <si>
    <t>16 al 20</t>
  </si>
  <si>
    <t>21 al 25</t>
  </si>
  <si>
    <t>26 al 30</t>
  </si>
  <si>
    <t>31 al 35</t>
  </si>
  <si>
    <t>36 al 40</t>
  </si>
  <si>
    <t>41 al 45</t>
  </si>
  <si>
    <t>46 al 50</t>
  </si>
  <si>
    <t>51 al 55</t>
  </si>
  <si>
    <t>56 al 60</t>
  </si>
  <si>
    <t>61 al 65</t>
  </si>
  <si>
    <t>66 al 70</t>
  </si>
  <si>
    <t>71 al 75</t>
  </si>
  <si>
    <t>76 al 80</t>
  </si>
  <si>
    <t>81 al 85</t>
  </si>
  <si>
    <t xml:space="preserve">86 al 90 </t>
  </si>
  <si>
    <t>91 al 95</t>
  </si>
  <si>
    <t>96 al 00</t>
  </si>
  <si>
    <t>Declaración y pago primera cuota (1)</t>
  </si>
  <si>
    <t>Pago segunda y última cuota (1)</t>
  </si>
  <si>
    <t>Plazo especial para sucursales demás establecimientos y entidades extrajeras y de personas naturales no residentes que no sean grandes contribuyentes que presten de forma regular el servicio de transporte aéreo, marítimo, terrestre o fluvial en Colombia y el extranjero, presentarán y cancelarán en una solo cuota la declaración de renta de 2022 y el anticipo hasta el 20 de octubre de 2023, cualquiera que sea su último dígito del NIT.</t>
  </si>
  <si>
    <t>Las entidades cooperativas de integración del régimen tributario especial podrán presentar la declaración de renta de año 2022, hasta el 17 de mayo de 2023; las demás cooperativas del régimen tributario especial, deberán presentar la declración atendiendo los plazos establecidos para la presentación de la declaración de las demás personas jurídicas.</t>
  </si>
  <si>
    <t>1.2.</t>
  </si>
  <si>
    <t>1.3.</t>
  </si>
  <si>
    <t>Personas Naturales</t>
  </si>
  <si>
    <t>Declaración de Renta, año fiscal 2022</t>
  </si>
  <si>
    <t>PERSONAS NATURALES</t>
  </si>
  <si>
    <t>Declaración y pago en una solo cuota</t>
  </si>
  <si>
    <t>Últimos dos  dígitos del NIT</t>
  </si>
  <si>
    <t>01 y02</t>
  </si>
  <si>
    <t>03 y 04</t>
  </si>
  <si>
    <t>05 y 06</t>
  </si>
  <si>
    <t>07 y 08</t>
  </si>
  <si>
    <t>09 y 10</t>
  </si>
  <si>
    <t>11 y 12</t>
  </si>
  <si>
    <t>13 y 14</t>
  </si>
  <si>
    <t>15 y 16</t>
  </si>
  <si>
    <t>17 y 18</t>
  </si>
  <si>
    <t>19 y 20</t>
  </si>
  <si>
    <t>21 y 22</t>
  </si>
  <si>
    <t>23 y 24</t>
  </si>
  <si>
    <t>25 y 26</t>
  </si>
  <si>
    <t>27 y 28</t>
  </si>
  <si>
    <t>29 y 30</t>
  </si>
  <si>
    <t>31 y 32</t>
  </si>
  <si>
    <t>33 y 34</t>
  </si>
  <si>
    <t>35 y 36</t>
  </si>
  <si>
    <t>37 y 38</t>
  </si>
  <si>
    <t>39 y 40</t>
  </si>
  <si>
    <t>41 y 42</t>
  </si>
  <si>
    <t>43 y 44</t>
  </si>
  <si>
    <t>45 y 46</t>
  </si>
  <si>
    <t>47 y 48</t>
  </si>
  <si>
    <t>49 y 50</t>
  </si>
  <si>
    <t>51 y 52</t>
  </si>
  <si>
    <t>53 y 54</t>
  </si>
  <si>
    <t>55 y 56</t>
  </si>
  <si>
    <t>57 y 58</t>
  </si>
  <si>
    <t>29 y 60</t>
  </si>
  <si>
    <t>61 y 62</t>
  </si>
  <si>
    <t>63 y 64</t>
  </si>
  <si>
    <t>65 y 66</t>
  </si>
  <si>
    <t>67 y 68</t>
  </si>
  <si>
    <t>69 y 70</t>
  </si>
  <si>
    <t>71 y 72</t>
  </si>
  <si>
    <t>73 y 74</t>
  </si>
  <si>
    <t>75 y 76</t>
  </si>
  <si>
    <t>77 y 78</t>
  </si>
  <si>
    <t>79 y 80</t>
  </si>
  <si>
    <t>81 y 82</t>
  </si>
  <si>
    <t>83 y 84</t>
  </si>
  <si>
    <t>85 y 86</t>
  </si>
  <si>
    <t>87 y 88</t>
  </si>
  <si>
    <t>89 y 90</t>
  </si>
  <si>
    <t>91 y 92</t>
  </si>
  <si>
    <t xml:space="preserve">93 y 94 </t>
  </si>
  <si>
    <t>95 y 96</t>
  </si>
  <si>
    <t>97 y 98</t>
  </si>
  <si>
    <t>99 y 00</t>
  </si>
  <si>
    <t>1.</t>
  </si>
  <si>
    <t>2.</t>
  </si>
  <si>
    <t>2.1.</t>
  </si>
  <si>
    <t>2.2.</t>
  </si>
  <si>
    <t>2.3.</t>
  </si>
  <si>
    <t>Anticipo bimestral del SIMPLE</t>
  </si>
  <si>
    <t>Impuesto Unificado del RST - SIMPLE</t>
  </si>
  <si>
    <t>DECLARACIÓN UNIFICADA ANUAL - SIMPLE</t>
  </si>
  <si>
    <t>REGIMEN SIMPLE DE TRIBUTACION - SIMPLE</t>
  </si>
  <si>
    <t>Declaración y pago única cuota (1)</t>
  </si>
  <si>
    <t>(1) Las personas naturales y jurídicas que en 2022, se hayan inscripto ante la DIANcomo contribuyentes del Régimen Simple de Tributación - SIMPLE, deberán presentar y pagar la Declración Unificada en las fechas indicadas</t>
  </si>
  <si>
    <t>Si los último dígitos del NIT son</t>
  </si>
  <si>
    <t>1-2</t>
  </si>
  <si>
    <t>3-4</t>
  </si>
  <si>
    <t>5-6</t>
  </si>
  <si>
    <t>7-8</t>
  </si>
  <si>
    <t>9-0</t>
  </si>
  <si>
    <t>(1) Las personas naturales y jurídicas que en 2022, se hayan inscripto ante la DIANcomo contribuyentes del Régimen Simple de Tributación - SIMPLE y sean respomsables del impuesto sobre las ventas - IVA, deberán presentar y pagar la declaración anual consolidada del año 2022 en las fechas indicadas.</t>
  </si>
  <si>
    <t>DECLARACIÓN ANUAL CONSOLIDADA DE IVA</t>
  </si>
  <si>
    <t>ANTICIPO BIMESTRAL DEL RÉGIMEN SIMPLE DE TRIBUTACIÓN</t>
  </si>
  <si>
    <t>RÉGIMEN SIMPLE DE TRIBUTACIÓN</t>
  </si>
  <si>
    <t xml:space="preserve">Enero - Febrero de 2023                </t>
  </si>
  <si>
    <t xml:space="preserve">Marzo - Abril de 2023                 </t>
  </si>
  <si>
    <t xml:space="preserve">Mayo - Junio  de 2023                     </t>
  </si>
  <si>
    <t xml:space="preserve">Julio - Agosto de 2023                       </t>
  </si>
  <si>
    <t xml:space="preserve">Septimebre - Octubre de 2023                     </t>
  </si>
  <si>
    <t xml:space="preserve">Noviembre - Diciembre de 2023                    </t>
  </si>
  <si>
    <t>3.</t>
  </si>
  <si>
    <t>DECLARACIÓN DE RENTA Y COMPLEMENTARIOS, Y</t>
  </si>
  <si>
    <t>DECLARACIÓN DE RENTA Y COMPLEMENTARIOS Y,</t>
  </si>
  <si>
    <t>3.1.</t>
  </si>
  <si>
    <t>3.2.</t>
  </si>
  <si>
    <t>3.3.</t>
  </si>
  <si>
    <t>Declaración de activos en el exterior</t>
  </si>
  <si>
    <t>Régimen Simple de Tributación (RST)</t>
  </si>
  <si>
    <t>4.</t>
  </si>
  <si>
    <t>4.1.</t>
  </si>
  <si>
    <t>4.2.</t>
  </si>
  <si>
    <t>Presentación de la documentación comprobatoria</t>
  </si>
  <si>
    <t>DECLARACIÓN DE ACTIVOS EN EL EXTERIOR</t>
  </si>
  <si>
    <t>Están obligados a cumplir con el régimen de precios de transferencia, los contribuyentes que cumplan con las siguientes condiciones: 
• Ser contribuyente del impuesto de renta y complementarios. 
• Tener vinculados en el exterior y/o vinculados ubicados en zonas francas. 
• Realizar operaciones durante el año gravable con: 1. Vinculados del exterior; 2. Personas, sociedades, entidades o empresas ubicadas, residentes o domiciliadas en paraísos fiscales; 3. Vinculado ubicado en zonas francas.</t>
  </si>
  <si>
    <t>PRECIOS DE TRANSFERENCIA</t>
  </si>
  <si>
    <t>PRESENTACIÓN DOCUMENTACIÓN COMPROBATORIA</t>
  </si>
  <si>
    <t>Topes para precios de transferncia del año terminado a 31 de diciembre de 2022:  (1) Patrimonio bruto igual o superior a 1.000 UVT ($3.800.400.000); (2) o Ingresos brutos iguales o superiores a 61.000 UVT ($2.318.244.000).</t>
  </si>
  <si>
    <t>DECLARACIÓN INFORMATIVA DE PRECIOS DE TRANSFERNCIA y</t>
  </si>
  <si>
    <t>Presentación de la declaración y documenatcióncomprobatoria</t>
  </si>
  <si>
    <t>INFORME MAESTRO</t>
  </si>
  <si>
    <t>Presentación informe maestro</t>
  </si>
  <si>
    <t>Estan obligados a este informe los contribuyentes que celebren operaciones con vinculados conforme lo establece los art. 260-1 y 260-2 del E.T. o con personas, sociedades, entidades o empresas ubicadas, residentes o domiciliadas en juridsdicciones no comperantes, de baja o nula imposición y régimenes tributarios preferentes (art. 260-7 del E.T.) y que pertenezcan a grupos multinacionales.</t>
  </si>
  <si>
    <t>INFORME PAÍS POR PAÍS</t>
  </si>
  <si>
    <t>Presentación informe país por país</t>
  </si>
  <si>
    <t>Están obligados a presentar este informe los contribuyentes que se encuentran en alguno de los supuestos que se señnalan en el numeral 2 del art. 260-5 del E.T. y la Sección 3 del Capítulo 2 del Título 2 de la Parte 2 del Libro 1 del Decreto 1625 de 2016.</t>
  </si>
  <si>
    <t>IMPUESTO SOBRE LAS VENTAS - IVA</t>
  </si>
  <si>
    <t>IVA CUATRIMESTRAL</t>
  </si>
  <si>
    <t xml:space="preserve">Enero - Abril de 2023                </t>
  </si>
  <si>
    <t xml:space="preserve">Mayo - Agosto de 2023                 </t>
  </si>
  <si>
    <t xml:space="preserve">septiembre - Diciembre  de 2023                     </t>
  </si>
  <si>
    <t>IMPUESTO NACIONAL AL CONSUMO</t>
  </si>
  <si>
    <t>IPOCONSUMO BIMESTRAL</t>
  </si>
  <si>
    <t xml:space="preserve">RETENCIÓN EN LA FUENTE </t>
  </si>
  <si>
    <t>Enero de 2023</t>
  </si>
  <si>
    <t>Febero de 2023</t>
  </si>
  <si>
    <t>Abril de 2023</t>
  </si>
  <si>
    <t>Mayo de 2023</t>
  </si>
  <si>
    <t>Junio de 2023</t>
  </si>
  <si>
    <t>Julio de 2023</t>
  </si>
  <si>
    <t>Agosto de 2023</t>
  </si>
  <si>
    <t>Septiembre de 2023</t>
  </si>
  <si>
    <t>Octubre de 2023</t>
  </si>
  <si>
    <t>Noviembre de 2023</t>
  </si>
  <si>
    <t>Diciembre de 2023</t>
  </si>
  <si>
    <t>IMPUESTO NACIONAL A LA GASOLINA Y AL ACPM</t>
  </si>
  <si>
    <t>DECLARACIÓN MENSUAL</t>
  </si>
  <si>
    <t>Declaración y pago mensual</t>
  </si>
  <si>
    <t>Período gravable</t>
  </si>
  <si>
    <t>Marzo de 2023</t>
  </si>
  <si>
    <t>mayo de 2023</t>
  </si>
  <si>
    <t>IMPUESTO NACIONAL AL CARBONO</t>
  </si>
  <si>
    <t>Declaración y pago BIMESTRAL</t>
  </si>
  <si>
    <t>Enero - Febrero de 2023</t>
  </si>
  <si>
    <t>Marzo - Abril de 2023</t>
  </si>
  <si>
    <t>Mayo - Junio de 2023</t>
  </si>
  <si>
    <t>Julio - Agosto de 2023</t>
  </si>
  <si>
    <t>Septiembre - Octubre de 2023</t>
  </si>
  <si>
    <t>Noviembre - Diciembre de 2023</t>
  </si>
  <si>
    <t>DECLARACIÓN SEMANAL</t>
  </si>
  <si>
    <t>No.  de semana</t>
  </si>
  <si>
    <t xml:space="preserve">Fecha Incial </t>
  </si>
  <si>
    <t>Fecha Final</t>
  </si>
  <si>
    <t xml:space="preserve">Fecha de Presentación </t>
  </si>
  <si>
    <t>Semana comprendida entre:</t>
  </si>
  <si>
    <t>GRAVAMEN A LOS MOVIMINETOS FINANCIEROS (GMF)</t>
  </si>
  <si>
    <t>5.</t>
  </si>
  <si>
    <t>6.</t>
  </si>
  <si>
    <t xml:space="preserve"> Impuesto sobre las ventas  (IVA)</t>
  </si>
  <si>
    <t xml:space="preserve"> Declaración de IVA bimestral</t>
  </si>
  <si>
    <t xml:space="preserve"> Impuesto nacional al consumo</t>
  </si>
  <si>
    <t>4.3.</t>
  </si>
  <si>
    <t>4.4.</t>
  </si>
  <si>
    <t>5.1.</t>
  </si>
  <si>
    <t>5.2.</t>
  </si>
  <si>
    <t>6.1.</t>
  </si>
  <si>
    <t>7.</t>
  </si>
  <si>
    <t>Retención en la fuente</t>
  </si>
  <si>
    <t xml:space="preserve">7.1. </t>
  </si>
  <si>
    <t>Declaración mensual de retención en la fuente</t>
  </si>
  <si>
    <t xml:space="preserve">8. </t>
  </si>
  <si>
    <t>Impuesto nacional a la gasolina y ACPM</t>
  </si>
  <si>
    <t>8.1.</t>
  </si>
  <si>
    <t>Declaración mensual al impuesto nacional a la gasolina y ACPM</t>
  </si>
  <si>
    <t>9.1.</t>
  </si>
  <si>
    <t>9.</t>
  </si>
  <si>
    <t>Impuesto nacional al carbono</t>
  </si>
  <si>
    <t>10.</t>
  </si>
  <si>
    <t>Gravamen a los movimientos financieros (GMF)</t>
  </si>
  <si>
    <t>10.1.</t>
  </si>
  <si>
    <t>Declaración semanal al GMF</t>
  </si>
  <si>
    <t>Declaración impoconsumo bimestral</t>
  </si>
  <si>
    <t>11.1.</t>
  </si>
  <si>
    <t>Certificados de retención en la fuente</t>
  </si>
  <si>
    <t>CERTIFICADOS DE RETENCIONES</t>
  </si>
  <si>
    <t>Tipo de certificado</t>
  </si>
  <si>
    <t>Fecha máxima</t>
  </si>
  <si>
    <t>Certificado de ingresos y retenciones F-220 (art. 378 ET)</t>
  </si>
  <si>
    <t>Certificado de retenciones en la fuente (art. 381 ET) y del GMF</t>
  </si>
  <si>
    <t>La certificación del valor patrimonial de los aportes y acciones, así como de las participaciones y dividendos gravados o no gravados abonados en cuenta en calidad de exigibles para los respectivos socios, comuneros, cooperados, asociados o accionistas</t>
  </si>
  <si>
    <t>A los quince (15) días calendario siguientes a la fecha de la solicitud</t>
  </si>
  <si>
    <t>Los certificados sobre la parte no gravada de los rendimientos financieros pagados a los ahorradores. (Art. 622 ET)</t>
  </si>
  <si>
    <t>A los quince (15) días calendario siguientes a la fecha de la solicitud por parte del ahorrador</t>
  </si>
  <si>
    <t xml:space="preserve">El certificado para la procedencia del descuento por ingresos a través de tarjeta de crédito, débito y otros mecanismos de pago electrónico de que trata el artículo 912 del ET y que correspondan al año 2022 (Desc. Tributarios Régimen SIMPLE) Lo emite las entidades vigiladas por la Superintendencia Financiera de Colombia </t>
  </si>
  <si>
    <t xml:space="preserve">Los contribuyentes del Régimen Tributario Especial, así como las cooperativas, deberán actualizar el registro web de que trata el artículo 364-5 del Estatuto Tributario y el artículo 1.2.1.5.1.16. de este Decreto, a más tardar el treinta y uno (31) de marzo de 2023, independientemente del último dígito del Número de Identificación Tributaria - NIT, sin tener en cuenta el dígito de verificación. </t>
  </si>
  <si>
    <t>Fecha límite de expedición</t>
  </si>
  <si>
    <t xml:space="preserve">El certificado para la procedencia del descuento por ingresos a través de tarjeta de crédito, débito y otros mecanismos de pago electrónico de que trata el artículo 912 del ET y que correspondan al año 2022 (Desc. Tributarios Régimen SIMPLE). Lo emite las entidades vigiladas por la Superintendencia Financiera de Colombia </t>
  </si>
  <si>
    <t>Resolución 00124 del 28 de octubre de 2021</t>
  </si>
  <si>
    <t>AÑO GRAVABLE DE 2022</t>
  </si>
  <si>
    <t>PERSONAS JURÍDICAS Y NATURALES</t>
  </si>
  <si>
    <t>11.</t>
  </si>
  <si>
    <t>12.1.</t>
  </si>
  <si>
    <t>12.</t>
  </si>
  <si>
    <t>Información exógena nacional</t>
  </si>
  <si>
    <t>INFORMACION EXÓGENA NACIONAL (DIAN)</t>
  </si>
  <si>
    <t xml:space="preserve">UVT </t>
  </si>
  <si>
    <t>Item</t>
  </si>
  <si>
    <t>SALARIALES</t>
  </si>
  <si>
    <t>A partir de UVT</t>
  </si>
  <si>
    <t>Base</t>
  </si>
  <si>
    <t>Tarifas</t>
  </si>
  <si>
    <t>Salarios, y pagos o abonos en cuenta por concepto de ingresos por honorarios y por compensación por servicios personales obtenidos por las personas que informen que no han contratado o vinculado dos (2) o más trabajadores asociados a la actividad.</t>
  </si>
  <si>
    <t>Ver tabla del Art.383, ET</t>
  </si>
  <si>
    <r>
      <rPr>
        <b/>
        <sz val="8"/>
        <rFont val="Calibri"/>
        <family val="2"/>
      </rPr>
      <t>Indemnizaciones salariales</t>
    </r>
    <r>
      <rPr>
        <sz val="8"/>
        <rFont val="Calibri"/>
        <family val="2"/>
      </rPr>
      <t xml:space="preserve"> empleado ingresos superiores a 10 SMMLV</t>
    </r>
    <r>
      <rPr>
        <b/>
        <sz val="8"/>
        <rFont val="Calibri"/>
        <family val="2"/>
      </rPr>
      <t xml:space="preserve"> (Art. 401-3 E.T.)</t>
    </r>
  </si>
  <si>
    <t>No aplica</t>
  </si>
  <si>
    <r>
      <rPr>
        <b/>
        <sz val="8"/>
        <color theme="1"/>
        <rFont val="Calibri"/>
        <family val="2"/>
      </rPr>
      <t>Honorarios y Comisiones</t>
    </r>
    <r>
      <rPr>
        <sz val="8"/>
        <color theme="1"/>
        <rFont val="Calibri"/>
        <family val="2"/>
      </rPr>
      <t xml:space="preserve"> (Cuando el beneficiario del pago sea una persona jurídica o asimilada. </t>
    </r>
  </si>
  <si>
    <r>
      <rPr>
        <b/>
        <sz val="8"/>
        <color theme="1"/>
        <rFont val="Calibri"/>
        <family val="2"/>
      </rPr>
      <t>Honorarios y Comisiones</t>
    </r>
    <r>
      <rPr>
        <sz val="8"/>
        <color theme="1"/>
        <rFont val="Calibri"/>
        <family val="2"/>
      </rPr>
      <t xml:space="preserve"> cuando el beneficiario del pago sea una persona natural NO declarante </t>
    </r>
    <r>
      <rPr>
        <b/>
        <sz val="8"/>
        <color theme="1"/>
        <rFont val="Calibri"/>
        <family val="2"/>
      </rPr>
      <t>(Art. 392 Inc 3)</t>
    </r>
    <r>
      <rPr>
        <sz val="8"/>
        <color theme="1"/>
        <rFont val="Calibri"/>
        <family val="2"/>
      </rPr>
      <t>, sera del 11% cuando los contratos que se firmen en el año gravable o que la suma de los ingresos con el agente retenedor superen 3.300 UVT</t>
    </r>
  </si>
  <si>
    <r>
      <rPr>
        <b/>
        <sz val="8"/>
        <color theme="1"/>
        <rFont val="Calibri"/>
        <family val="2"/>
      </rPr>
      <t>Por servicios de licenciamiento o derecho de uso de software.</t>
    </r>
    <r>
      <rPr>
        <sz val="8"/>
        <color theme="1"/>
        <rFont val="Calibri"/>
        <family val="2"/>
      </rPr>
      <t xml:space="preserve"> Los pagos o abonos en cuenta que se realicen a contribuyentes con residencia o domicilio en Colombia obligados a presentar declaración del Impuesto sobre la renta y complementarios en el país. </t>
    </r>
  </si>
  <si>
    <r>
      <rPr>
        <b/>
        <sz val="8"/>
        <color theme="1"/>
        <rFont val="Calibri"/>
        <family val="2"/>
      </rPr>
      <t>Por actividades de análisis, diseño, desarrollo, implementación, mantenimiento, ajustes, pruebas, suministro y documentación,</t>
    </r>
    <r>
      <rPr>
        <sz val="8"/>
        <color theme="1"/>
        <rFont val="Calibri"/>
        <family val="2"/>
      </rPr>
      <t xml:space="preserve"> fases necesarias en la elaboración de programas de informática, sean o no personalizados, así como el diseño de páginas web y consultoría en programas de informática. </t>
    </r>
    <r>
      <rPr>
        <b/>
        <sz val="8"/>
        <color theme="1"/>
        <rFont val="Calibri"/>
        <family val="2"/>
      </rPr>
      <t xml:space="preserve"> </t>
    </r>
  </si>
  <si>
    <r>
      <rPr>
        <b/>
        <sz val="8"/>
        <color theme="1"/>
        <rFont val="Calibri"/>
        <family val="2"/>
      </rPr>
      <t>Contratos de consultoria y administración delegada, c</t>
    </r>
    <r>
      <rPr>
        <sz val="8"/>
        <color theme="1"/>
        <rFont val="Calibri"/>
        <family val="2"/>
      </rPr>
      <t>uando el beneficiario sea una persona jurídica o asimilada.</t>
    </r>
  </si>
  <si>
    <t xml:space="preserve">Contratos de consultoría y construcción por el sistema de administración delegada Personas Naturales  NO declarantes </t>
  </si>
  <si>
    <r>
      <rPr>
        <b/>
        <sz val="8"/>
        <color theme="1"/>
        <rFont val="Calibri"/>
        <family val="2"/>
      </rPr>
      <t>En los contratos de consultoría de obras públicas celebrados con personas  jurídicas por la Nación,</t>
    </r>
    <r>
      <rPr>
        <sz val="8"/>
        <color theme="1"/>
        <rFont val="Calibri"/>
        <family val="2"/>
      </rPr>
      <t xml:space="preserve"> los departamentos las Intendencias, las Comisarías, los Municipios , el Distrito Especial e Bogotá los establecimientos públicos, las empresas industriales y comerciales del Estado posea el noventa  por ciento (90%) o más de su capital  social cuyo  remuneración se efectúe con base en el método  de factor multiplicador.</t>
    </r>
  </si>
  <si>
    <r>
      <rPr>
        <b/>
        <sz val="8"/>
        <color theme="1"/>
        <rFont val="Calibri"/>
        <family val="2"/>
      </rPr>
      <t>Contratos de consultoría en ingeniería de proyectos de infraestructura y edificaciones,</t>
    </r>
    <r>
      <rPr>
        <sz val="8"/>
        <color theme="1"/>
        <rFont val="Calibri"/>
        <family val="2"/>
      </rPr>
      <t xml:space="preserve"> que realicen las Personas Naturales   o Personas Jurísica pública o privado, las sociedades de hecho, y  demás entidades a favor de Personas Naturales  o Personas Jurísicas y entidades contribuyentes obligadas a presentar declaración de Renta. </t>
    </r>
  </si>
  <si>
    <r>
      <rPr>
        <b/>
        <sz val="8"/>
        <color theme="1"/>
        <rFont val="Calibri"/>
        <family val="2"/>
      </rPr>
      <t>Contratos de consultoría en ingeniería de proyectos de infraestructura y edificaciones,</t>
    </r>
    <r>
      <rPr>
        <sz val="8"/>
        <color theme="1"/>
        <rFont val="Calibri"/>
        <family val="2"/>
      </rPr>
      <t xml:space="preserve"> a favor de Personas Naturales NO obligadas a presentar declaración de Renta.  </t>
    </r>
  </si>
  <si>
    <r>
      <rPr>
        <b/>
        <sz val="8"/>
        <color theme="1"/>
        <rFont val="Calibri"/>
        <family val="2"/>
      </rPr>
      <t>Prestación de servicios de sísmica para el sector hidrocarburos.</t>
    </r>
    <r>
      <rPr>
        <sz val="8"/>
        <color theme="1"/>
        <rFont val="Calibri"/>
        <family val="2"/>
      </rPr>
      <t> Pagos o abonos en cuenta que realicen las personas jurídicas, las sociedades de hecho y las demás entidades y personas naturales  a Personas Naturales , Personsa Jurídicas o asimiladas obligados a declarar renta.</t>
    </r>
  </si>
  <si>
    <t>SERVICIOS</t>
  </si>
  <si>
    <t xml:space="preserve">Servicios en general personas jurídicas y asimiladas y Personas Naturales declarantes de renta. </t>
  </si>
  <si>
    <r>
      <t>Servicios en general Personas Naturales NO declarantes de renta</t>
    </r>
    <r>
      <rPr>
        <b/>
        <sz val="8"/>
        <color theme="1"/>
        <rFont val="Calibri"/>
        <family val="2"/>
      </rPr>
      <t>.</t>
    </r>
  </si>
  <si>
    <t>Servicios de transporte nacional de carga (terrestre, aéreo o marítimo)</t>
  </si>
  <si>
    <t>Servicios de Transporte nacional de pasajeros (terrestre) de declarantes y no declarentes.</t>
  </si>
  <si>
    <t>Servicio de transporte nacional de pasajeros (aéreo y marítimo)</t>
  </si>
  <si>
    <t>Servicios prestados por Empresas Temporales de Empleo. (Sobre AIU Mayor o igual a 4 UVT)</t>
  </si>
  <si>
    <t xml:space="preserve">Servicios de vigilancia y aseo prestados por empresas de vigilancia y aseo. (Sobre AIU Mayor o igual a 4 UVT). </t>
  </si>
  <si>
    <r>
      <t>Los servicios integrales de salud que involucran servicios calificados y no calificados, prestados a un usuario por instituciones prestadoras de salud IPS, que comprenden hospitalización, radiología, medicamentos, exámenes y análisis de laboratorios clínicos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(Art. 392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Inc 5 E.T.)</t>
    </r>
  </si>
  <si>
    <r>
      <t>Arrendamiento de Bienes Muebles.</t>
    </r>
    <r>
      <rPr>
        <b/>
        <sz val="8"/>
        <color theme="1"/>
        <rFont val="Calibri"/>
        <family val="2"/>
      </rPr>
      <t xml:space="preserve"> </t>
    </r>
  </si>
  <si>
    <t>Actividades culturales y creativas. Artículo 16 Ley 2070 de 2020, modificatorio art. 392 ET</t>
  </si>
  <si>
    <t>Arrendamiento de Bienes Inmuebles de declarantes y no declarantes</t>
  </si>
  <si>
    <t>Por emolumentos eclesiásticos efectuados a personas naturales que sean declarantes de renta.</t>
  </si>
  <si>
    <t>Por emolumentos eclesiásticos efectuados a personas naturales  que no sean declarantes de renta.</t>
  </si>
  <si>
    <t>Servicio de Hoteles , Restaurantes y Hospedajes de declarantes y no declarantes</t>
  </si>
  <si>
    <t>Contratos de construcción, urbanización y en general confección de obra material de bien inmueble.</t>
  </si>
  <si>
    <t>COMPRAS</t>
  </si>
  <si>
    <r>
      <t>Compras y otros ingresos tributarios en general</t>
    </r>
    <r>
      <rPr>
        <sz val="8"/>
        <color theme="1"/>
        <rFont val="Calibri"/>
        <family val="2"/>
      </rPr>
      <t xml:space="preserve"> de declarantes</t>
    </r>
  </si>
  <si>
    <t>Compras y otros ingresos tributarios en general de no declarantes</t>
  </si>
  <si>
    <t xml:space="preserve">Compra de bienes y productos Agrícolas o Pecuarios sin procesamiento industrial . </t>
  </si>
  <si>
    <t xml:space="preserve">1.5% </t>
  </si>
  <si>
    <t>Compra de Café Pergamino o cereza.</t>
  </si>
  <si>
    <t xml:space="preserve">0.5% </t>
  </si>
  <si>
    <r>
      <t>Compra de Combustibles derivados del petróleo a favor de distribuidores mayoristas o minoristas de combustibles.</t>
    </r>
    <r>
      <rPr>
        <b/>
        <sz val="8"/>
        <color theme="1"/>
        <rFont val="Calibri"/>
        <family val="2"/>
      </rPr>
      <t xml:space="preserve"> </t>
    </r>
  </si>
  <si>
    <t xml:space="preserve">0.1% </t>
  </si>
  <si>
    <r>
      <t>Adquisión de Vehículos.</t>
    </r>
    <r>
      <rPr>
        <b/>
        <sz val="8"/>
        <color theme="1"/>
        <rFont val="Calibri"/>
        <family val="2"/>
      </rPr>
      <t xml:space="preserve"> </t>
    </r>
  </si>
  <si>
    <r>
      <t>Compra de oro por las sociedades de comercialización internacional.</t>
    </r>
    <r>
      <rPr>
        <b/>
        <sz val="8"/>
        <color theme="1"/>
        <rFont val="Calibri"/>
        <family val="2"/>
      </rPr>
      <t xml:space="preserve"> </t>
    </r>
  </si>
  <si>
    <r>
      <t>Adquisicion de Bienes raices para vivienda de habitación por las primeras 20.000 UVT</t>
    </r>
    <r>
      <rPr>
        <b/>
        <sz val="8"/>
        <color theme="1"/>
        <rFont val="Calibri"/>
        <family val="2"/>
      </rPr>
      <t xml:space="preserve">. </t>
    </r>
  </si>
  <si>
    <t>Adquisicion de Bienes raices para vivienda de habitación sobre el exceso de las primeras 20.000 UVT.</t>
  </si>
  <si>
    <t>Adquisicion de Bienes raices uso diferente a vivienda de habitación.</t>
  </si>
  <si>
    <r>
      <t>Enajenación de activos fijos por parte de una persona natural o juridica (Art. 398, 399 y 368-2  E.T.</t>
    </r>
    <r>
      <rPr>
        <b/>
        <sz val="8"/>
        <color theme="1"/>
        <rFont val="Calibri"/>
        <family val="2"/>
      </rPr>
      <t>)</t>
    </r>
    <r>
      <rPr>
        <sz val="8"/>
        <color theme="1"/>
        <rFont val="Calibri"/>
        <family val="2"/>
      </rPr>
      <t xml:space="preserve"> o venta de bienes inmuebles de vendedor persona natual.</t>
    </r>
  </si>
  <si>
    <t>Pagos a establecimientos comerciales que aceptan como medio de pago las tarjetas débito o crédito.</t>
  </si>
  <si>
    <r>
      <t>Loterías, Rifas, Apuestas y similares</t>
    </r>
    <r>
      <rPr>
        <b/>
        <sz val="8"/>
        <color theme="1"/>
        <rFont val="Calibri"/>
        <family val="2"/>
      </rPr>
      <t xml:space="preserve">. </t>
    </r>
    <r>
      <rPr>
        <sz val="8"/>
        <color theme="1"/>
        <rFont val="Calibri"/>
        <family val="2"/>
      </rPr>
      <t xml:space="preserve"> Art. 317 y 404-1.</t>
    </r>
  </si>
  <si>
    <r>
      <t xml:space="preserve">Premios obtenidos por el propietario del caballo o can en concursos hípicos o similares. 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Art. 306-1</t>
    </r>
  </si>
  <si>
    <r>
      <t>Colocacion independiente de juegos de suerte y azar. Los ingresos diarios de cada colocador debe exceder de 5 UVT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(Art. 401-1 E.T.)</t>
    </r>
  </si>
  <si>
    <t>Indeminizaciones diferentes a las salariales y a las percibidas en demandas contra el estado para residentes fiscales en Colombia. (Art. 401-2 E.T.)</t>
  </si>
  <si>
    <t xml:space="preserve">Rendimientos Financieros Provenientes de titulos de renta fija, contemplados en el Decreto 700 de 1997. </t>
  </si>
  <si>
    <r>
      <t xml:space="preserve">Rendimientos financieros en general. 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Art. 395, 396.</t>
    </r>
  </si>
  <si>
    <t>Rendimienos financieros provenientes de títulos de denominación en moneda extranjera.</t>
  </si>
  <si>
    <r>
      <t>Ingresos provenientes de las operaciones realizadas a través de instrumentos financieros derivados</t>
    </r>
    <r>
      <rPr>
        <b/>
        <sz val="8"/>
        <color theme="1"/>
        <rFont val="Calibri"/>
        <family val="2"/>
      </rPr>
      <t xml:space="preserve">. </t>
    </r>
    <r>
      <rPr>
        <sz val="8"/>
        <color theme="1"/>
        <rFont val="Calibri"/>
        <family val="2"/>
      </rPr>
      <t>Dcto 2418 de 2013 Art. 1.</t>
    </r>
  </si>
  <si>
    <t>Intereses originados en operaciones activas de crédito u operaciones de mutuo comercial.</t>
  </si>
  <si>
    <t>Por actividades de estudios de mercado y la realización de encuestas de opinión pública que se efectúen a las personas jurídicas, las sociedades de hecho y las demás entidades.</t>
  </si>
  <si>
    <t xml:space="preserve">RETENCION POR PAGOS AL EXTERIOR. </t>
  </si>
  <si>
    <t xml:space="preserve">Tarifa especial para dividendos o participaciones recibidos por sociedades y entidades extranjeras y por personas naturales no residentes.  Art. 245 E.T. </t>
  </si>
  <si>
    <r>
      <t>Intereses, comisiones, honorarios, regalías, arrendamientos, compensaciones por servicios personales, o explotación de toda especie de propiedad industrial.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Art. 408 E.T.</t>
    </r>
  </si>
  <si>
    <r>
      <t xml:space="preserve">Consultorías, servicios técnicos y de asistencia técnica, bien sea que se presten en Colombia o desde el exterior. 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Art. 408 E.T.</t>
    </r>
  </si>
  <si>
    <r>
      <t>Tarifa para rentas en explotación de programas de computador</t>
    </r>
    <r>
      <rPr>
        <b/>
        <sz val="8"/>
        <color theme="1"/>
        <rFont val="Calibri"/>
        <family val="2"/>
      </rPr>
      <t xml:space="preserve">.  </t>
    </r>
    <r>
      <rPr>
        <sz val="8"/>
        <color theme="1"/>
        <rFont val="Calibri"/>
        <family val="2"/>
      </rPr>
      <t>Art. 408 E.T.</t>
    </r>
  </si>
  <si>
    <t>Retención en la Fuente por Servicios Artísticos de Extranjeros. Ley 1493  2011 Art. 5.</t>
  </si>
  <si>
    <t>En el caso de los denominados contratos "Llave en mano" y demás contratos de confección de obra material, se considera renta de fuente nacional para el contratista, el valor total del respectivo contrato. Art. 412 E.T.</t>
  </si>
  <si>
    <r>
      <t xml:space="preserve">Arrendamiento de maquinaria para construcción, mantenimiento, o reparación de obras civiles que efectúen los constructores colombianos en desarrollo de contratos que hayan sido objeto de licitaciones públicas internacionales. 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Art. 414 E.T.</t>
    </r>
  </si>
  <si>
    <t>Profesores extranjeros sin residencia en el país, contratados por períodos no superiores a cuatro (4) meses por instituciones de educación superior, aprobadas por el ICFES. Art. 409 E.T.</t>
  </si>
  <si>
    <r>
      <t xml:space="preserve">Los pagos o abonos en cuenta por concepto de rendimientos financieros, realizados a personas no residentes o no domiciliadas en el país, originados en créditos obtenidos en el exterior por término igual o superior a un (1) año o por concepto de intereses o costos financieros del canon de arrendamientooriginados en contratos de leasing que se celebre directamente o a través de compañías de leasing con empresas extranjeras sin domicilio en Colombia. </t>
    </r>
    <r>
      <rPr>
        <b/>
        <sz val="8"/>
        <color theme="1"/>
        <rFont val="Calibri"/>
        <family val="2"/>
      </rPr>
      <t xml:space="preserve">  </t>
    </r>
    <r>
      <rPr>
        <sz val="8"/>
        <color theme="1"/>
        <rFont val="Calibri"/>
        <family val="2"/>
      </rPr>
      <t>Art. 408 E.T.</t>
    </r>
  </si>
  <si>
    <t>Los pagos o abonos en cuenta, originados en contratos de leasing sobre naves, helicópteros y/o aerodinos, así como sus partes que se celebren directamente o a través de compañías de leasing, con empresas extranjeras sin domicilio en Colombia. Art. 408 E.T.</t>
  </si>
  <si>
    <t>Rrendimientos financieros o intereses, realizados a personas no residentes o no domiciliadas en el país, originados en créditos o valores de contenido crediticio, por término igual o superior a ocho (8) años, destinados a la financiación de proyectos de infraestructura bajo el esquema de Asociaciones Público- Privadas en el marco de la Ley 1508 de 2012. Art. 408 E.T.</t>
  </si>
  <si>
    <t>Prima cedida por reaseguros realizados a personas no residentes o no domiciliadas en el país.  Art. 408 E.T.</t>
  </si>
  <si>
    <r>
      <t xml:space="preserve">Pagos o o abono en cuenta por concepto de administración o dirección de que trata el artículo 124 del Estatuto Tributario, realizados a personas no residentes o no domiciliadas en el país. De que trata el  E.T. Art. 124. 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Art. 408 E.T.</t>
    </r>
  </si>
  <si>
    <r>
      <t>Explotación de películas cinematográficas a cualquier título.</t>
    </r>
    <r>
      <rPr>
        <b/>
        <sz val="8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Art. 408 E.T.</t>
    </r>
  </si>
  <si>
    <t>Servicios de transporte internacional, prestados por empresad de transporte
aéreo o marítimo sin domicilio en el país. Ley 1819 de 2016 Art. 186. Modifica Art. 414-1 E.T.</t>
  </si>
  <si>
    <r>
      <t>En los demás casos no contemplados, diferentes a ganancias ocasionales. Art. 415 E.T</t>
    </r>
    <r>
      <rPr>
        <b/>
        <sz val="8"/>
        <color theme="1"/>
        <rFont val="Calibri"/>
        <family val="2"/>
      </rPr>
      <t>.</t>
    </r>
  </si>
  <si>
    <t xml:space="preserve">RETENCION DE IVA </t>
  </si>
  <si>
    <t>Pagos a establecimientos comerciales que aceptan como medio de pago las tarjetas débito o crédito (Servicios 4UVT, Bienes 27UVT.)</t>
  </si>
  <si>
    <t>La base es el 100% del IVA teórico</t>
  </si>
  <si>
    <t xml:space="preserve">15% del Iva </t>
  </si>
  <si>
    <t>Por el pago de servicios gravados con IVA y quien prestó el servicio es un no residente en Colombia. E.T. Art. 437-2 num 3.</t>
  </si>
  <si>
    <t xml:space="preserve">100% del IVA </t>
  </si>
  <si>
    <t xml:space="preserve">Por compras de aviones (en este caso el agente de retención es la Aeronáutica Civil ), Art. 437 - 2 E.T. </t>
  </si>
  <si>
    <t>Retención de IVA para venta de chatarra identificada con la nomenclatura arancelaria andina 72.04, 74.04 Y 76.02, se generará cuándo esta sea vendida a las siderúrgicas. (Art. 437-4)</t>
  </si>
  <si>
    <t>Retención de IVA para venta de chatarra identificada con la nomenclatura arancelaria andina 72.04, 74.04 Y 76.02, efectuada por las siderúrgicas a otras siderúrgicas o a terceros, se genera el impuesto sobre las ventas a la tarifa general y la retención, cuando a ella hubiere lugar.</t>
  </si>
  <si>
    <t xml:space="preserve">El IVA causado en la venta de tabaco en rama o sin elaborar y desperdicios de tabaco identificados con la nomenclatura arancelaria andina 24.01. por parte de los productores del régimen común, será retenido por la empresa tabacalera. </t>
  </si>
  <si>
    <t>El IVA causado en la venta de tabaco en rama o sin elaborar y desperdicios de tabaco identificados con la nomenclatura arancelaria andina 24.01.  efectuada por las empresas tabacaleras a otras empresas tabacaleras o a terceros.</t>
  </si>
  <si>
    <t>Retención de IVA para venta de papel o cartón para reciclar (desperdicios y desechos) cuando estos sean vendidos a las empresas de fabricación de pastas celulósicas, papel y cartón ; fabricación de papel y cartón ondulado, fabricación de envases, empaques y de embalajes de papel y cartón; y, fabricación de otros artículos de papel y cartón.</t>
  </si>
  <si>
    <t>Retención de IVA para venta de desperdicios y deshechos de plomo  se generará cuando estos sean vendidos a las empresas de fabricación de pilas, baterías y acumuladores eléctricos.</t>
  </si>
  <si>
    <t>TABLA RETENCION EN LA FUENTE AÑO 2023</t>
  </si>
  <si>
    <t>DIVIDENDOS YOTROS CONCEPTO</t>
  </si>
  <si>
    <t>HONORARIOS Y CONSULTORÍA</t>
  </si>
  <si>
    <t xml:space="preserve">Tarifa especial para dividendos o participaciones recibidos por sociedades y entidades extranjeras y por personas naturales residentes.  Art. 242 E.T. </t>
  </si>
  <si>
    <t>DECLARACIÓN DE RETENCIÓN EN LA FUENTE</t>
  </si>
  <si>
    <t>7.2.</t>
  </si>
  <si>
    <t>Tabla de retención en la fuente</t>
  </si>
  <si>
    <t>Sujetos Obligados: Para informartes de  los Grupos 01 y 02 de NIIF,  de estados financieros separados o Individuales, expresados en miles de pesos, sean vigilados, controlados o inspeccionados, al igual  que, las empresas en reorganización o reestructuración empresarial.</t>
  </si>
  <si>
    <t>Fechas del Reporte</t>
  </si>
  <si>
    <t>Últimos dos dígito del NIT</t>
  </si>
  <si>
    <t>01-05</t>
  </si>
  <si>
    <t>06-10</t>
  </si>
  <si>
    <t>11-15</t>
  </si>
  <si>
    <t>16-20</t>
  </si>
  <si>
    <t>21-25</t>
  </si>
  <si>
    <t xml:space="preserve">Día  </t>
  </si>
  <si>
    <t>26-30</t>
  </si>
  <si>
    <t>31-35</t>
  </si>
  <si>
    <t>36-40</t>
  </si>
  <si>
    <t>41-45</t>
  </si>
  <si>
    <t>46-50</t>
  </si>
  <si>
    <t>51-55</t>
  </si>
  <si>
    <t>56-60</t>
  </si>
  <si>
    <t>61-65</t>
  </si>
  <si>
    <t>66-70</t>
  </si>
  <si>
    <t>71-75</t>
  </si>
  <si>
    <t>76-80</t>
  </si>
  <si>
    <t>81-85</t>
  </si>
  <si>
    <t>86-90</t>
  </si>
  <si>
    <t>91-95</t>
  </si>
  <si>
    <t>96-00</t>
  </si>
  <si>
    <t>Sujetos obligados: Todos los informartes de estados financieros separados. Reporte expresados en miles de pesos.</t>
  </si>
  <si>
    <t>Fecha del Reporte</t>
  </si>
  <si>
    <t>Últimos dos dígitos del NIT</t>
  </si>
  <si>
    <t>Todos los NIT</t>
  </si>
  <si>
    <t>Hasta el día 31 de mayo</t>
  </si>
  <si>
    <t xml:space="preserve">Informe 42: Prácticas Empresariales </t>
  </si>
  <si>
    <t>Suejtos obligados: Todas las empresas vigiladas o controladas por la Superintendencia de Sociedades.</t>
  </si>
  <si>
    <t>01-10</t>
  </si>
  <si>
    <t>11-20</t>
  </si>
  <si>
    <t>21-30</t>
  </si>
  <si>
    <t>31-40</t>
  </si>
  <si>
    <t>41-50</t>
  </si>
  <si>
    <t>51-60</t>
  </si>
  <si>
    <t>61-70</t>
  </si>
  <si>
    <t>71-80</t>
  </si>
  <si>
    <t>81-90</t>
  </si>
  <si>
    <t>91-00</t>
  </si>
  <si>
    <t>Circular Externa 100-000012 de 2022</t>
  </si>
  <si>
    <t>AÑO TERMINADO A 31 DE DICIEMBRE DE 2022</t>
  </si>
  <si>
    <t>Reporte de Estados Financieros a 31 de diciembre de 2022</t>
  </si>
  <si>
    <t>Desde el 11 de abril hasta el 09 de mayo de 2023</t>
  </si>
  <si>
    <t>Estados Financieros Consolidados y Combinados a 31 de diciembre de 2022</t>
  </si>
  <si>
    <t>Desde el 16 y hasta el 30 de mayo de 2023</t>
  </si>
  <si>
    <t>Declaración y Pago  bimestral por agentes de retención</t>
  </si>
  <si>
    <t>Primer Bimestre</t>
  </si>
  <si>
    <t>Ene - Feb</t>
  </si>
  <si>
    <t>Segundo Bimestre</t>
  </si>
  <si>
    <t>Mar - Abr</t>
  </si>
  <si>
    <t>Tercer Bimestre</t>
  </si>
  <si>
    <t>May - Jun</t>
  </si>
  <si>
    <t>Cuarto Bimestre</t>
  </si>
  <si>
    <t>Jul - Ago</t>
  </si>
  <si>
    <t>Quinto Bimestre</t>
  </si>
  <si>
    <t>Sep - Oct</t>
  </si>
  <si>
    <t>Sexto Bimestre</t>
  </si>
  <si>
    <t>Nov - Dic</t>
  </si>
  <si>
    <r>
      <t xml:space="preserve">Declaración y Pago: </t>
    </r>
    <r>
      <rPr>
        <b/>
        <sz val="14"/>
        <color rgb="FFC00000"/>
        <rFont val="Calibri"/>
        <family val="2"/>
        <scheme val="minor"/>
      </rPr>
      <t>Contribuyentes Personas Jurídicas y Naturales</t>
    </r>
  </si>
  <si>
    <t>Anual</t>
  </si>
  <si>
    <t>Ene - Feb,   2020</t>
  </si>
  <si>
    <t>2-4</t>
  </si>
  <si>
    <t xml:space="preserve">Nov - Dic </t>
  </si>
  <si>
    <t>Impuesto de Industria y Comercio (ICA) - Bogotá</t>
  </si>
  <si>
    <t xml:space="preserve">Nov - Dic  </t>
  </si>
  <si>
    <t>Declaración Anual de Industria y Comercio (ICA) Medellín</t>
  </si>
  <si>
    <t>0-9</t>
  </si>
  <si>
    <t>8-7</t>
  </si>
  <si>
    <t>6-5</t>
  </si>
  <si>
    <t>4-3</t>
  </si>
  <si>
    <t>2-1</t>
  </si>
  <si>
    <t>Sexto   Bimestre</t>
  </si>
  <si>
    <t>Declaración Bimestral</t>
  </si>
  <si>
    <t xml:space="preserve"> Mes de enero</t>
  </si>
  <si>
    <t>Mes de febrero</t>
  </si>
  <si>
    <t>Mes de marzo</t>
  </si>
  <si>
    <t>Mes de abril</t>
  </si>
  <si>
    <t>Mes de mayo</t>
  </si>
  <si>
    <t>Mes de junio</t>
  </si>
  <si>
    <t>Mes de julio</t>
  </si>
  <si>
    <t>Mes de agosto</t>
  </si>
  <si>
    <t xml:space="preserve">Mes de septiembre </t>
  </si>
  <si>
    <t>Mes de octubre</t>
  </si>
  <si>
    <t>Mes de noviembre</t>
  </si>
  <si>
    <t>Mes de diciembre</t>
  </si>
  <si>
    <t>Declaración y Pago Bimestral: Contribuyentes del Régimen Simplificado Preferente</t>
  </si>
  <si>
    <t>Sexto    Bimestre</t>
  </si>
  <si>
    <t>Con ingresos en la vigencia del año 2022, mayores o iguales a 131.952 UVT (Valor Referencia, $5.014.704.000)</t>
  </si>
  <si>
    <t>Con ingresos en la vigencia del año 2022, mayores o iguales a 32.998 UVT  (valor referencia,$1.254.056.000) y menores a 131.952 UVT (Valor Referencia, $5.014.704.000)</t>
  </si>
  <si>
    <t>Con ingresos en la vigencia del año 2021, menores a 32.998 UVT (Valor Referencia, $1.254.056.000)</t>
  </si>
  <si>
    <t>Declaración anual de Industria y Comercio (ICA) - Cali Vigencia Fiscal 2022</t>
  </si>
  <si>
    <t>IMPUESTO DE INDUSTRIA Y COMERCIO DE CALI</t>
  </si>
  <si>
    <t>AÑO GRAVABLE DE 2023</t>
  </si>
  <si>
    <t>Declaración bimestral del  Impuesto de Industria y Comercio (ICA) y,</t>
  </si>
  <si>
    <t>Enero de 2024</t>
  </si>
  <si>
    <t>DECLARACIONES BIMESTRALES DEL IMPUESTOS Y DE RETENCIONES</t>
  </si>
  <si>
    <t>13.</t>
  </si>
  <si>
    <t>13.1.</t>
  </si>
  <si>
    <t>13.2.</t>
  </si>
  <si>
    <t>13.3.</t>
  </si>
  <si>
    <t>13.4.</t>
  </si>
  <si>
    <t>Impuesto bimestral de Industria y Comercio (ICA), Año 2023</t>
  </si>
  <si>
    <t>Declaración anual de Industria y Comercio, ingresos &gt;=131.952 UVT (Año 2022)</t>
  </si>
  <si>
    <t>Declaración anual de Industria y Comercio, ingresos  &lt;32.998 UVT (Año 2022)</t>
  </si>
  <si>
    <t>14.</t>
  </si>
  <si>
    <t>Impuesto de Industria y Comercio (ICA) Cali</t>
  </si>
  <si>
    <t>Impuesto de Industria y Comercio (ICA) Bogotá</t>
  </si>
  <si>
    <t>14.1.</t>
  </si>
  <si>
    <t>14.2.</t>
  </si>
  <si>
    <t>14.3.</t>
  </si>
  <si>
    <t>14.4.</t>
  </si>
  <si>
    <t>15.</t>
  </si>
  <si>
    <t>Impuesto de Industria y Comercio (ICA) Medellín</t>
  </si>
  <si>
    <t>Impuesto de Industria y Comercio (ICA) Barranquilla</t>
  </si>
  <si>
    <t>15.1.</t>
  </si>
  <si>
    <t>15.2.</t>
  </si>
  <si>
    <t>15.3.</t>
  </si>
  <si>
    <t>15.4.</t>
  </si>
  <si>
    <t>16.</t>
  </si>
  <si>
    <t>16.1.</t>
  </si>
  <si>
    <t>16.2.</t>
  </si>
  <si>
    <t>16.3.</t>
  </si>
  <si>
    <t>16.4.</t>
  </si>
  <si>
    <t>17.</t>
  </si>
  <si>
    <t>17.1.</t>
  </si>
  <si>
    <t>Todos los NITs</t>
  </si>
  <si>
    <t>Fecha límes hasta 17 de marzo de 2023</t>
  </si>
  <si>
    <t>Retención en la fuente - ReteICA Bogotá</t>
  </si>
  <si>
    <t xml:space="preserve">IMPUESTO DE INDUSTRIA Y COMERCIO </t>
  </si>
  <si>
    <t>VIGENCIA 2023</t>
  </si>
  <si>
    <t>Declaración y Pago bimestral: Contribuyentes del régimen común con Impuesto a cargo (FU) en el año gravable de 2022  mayor a 391 UVT ($14.860.000)</t>
  </si>
  <si>
    <t>Fecha límes hasta 14 de abril de 2023</t>
  </si>
  <si>
    <t>Fecha límes hasta 16 de junio de 2023</t>
  </si>
  <si>
    <t>Fecha límes hasta 20 de octubre de 2023</t>
  </si>
  <si>
    <t>Fecha límes hasta 18 de agosto de 2023</t>
  </si>
  <si>
    <t>Fecha límes hasta 15 de septiembre de 2023</t>
  </si>
  <si>
    <t>Fecha límes hasta 15 de diciembre de 2023</t>
  </si>
  <si>
    <t>Fecha límes hasta 16 de febrero de 2024</t>
  </si>
  <si>
    <r>
      <t>Declaración y Pago Anual: Contribuyentes del régimen común con Impuesto a cargo (FU) en el año gravable de 2021</t>
    </r>
    <r>
      <rPr>
        <b/>
        <sz val="9"/>
        <color rgb="FFC00000"/>
        <rFont val="Calibri"/>
        <family val="2"/>
        <scheme val="minor"/>
      </rPr>
      <t xml:space="preserve"> MENOR</t>
    </r>
    <r>
      <rPr>
        <b/>
        <sz val="9"/>
        <color theme="1"/>
        <rFont val="Calibri"/>
        <family val="2"/>
        <scheme val="minor"/>
      </rPr>
      <t xml:space="preserve"> a 391 UVT .</t>
    </r>
  </si>
  <si>
    <t>Ene- Dic, 2022</t>
  </si>
  <si>
    <t>Ene- Dic, 2023</t>
  </si>
  <si>
    <r>
      <t xml:space="preserve">Los contribuyentes del impuesto de industria y comercio pertenecientes al </t>
    </r>
    <r>
      <rPr>
        <b/>
        <sz val="9"/>
        <color rgb="FFFF0000"/>
        <rFont val="Calibri"/>
        <family val="2"/>
        <scheme val="minor"/>
      </rPr>
      <t>Régimen Preferencial</t>
    </r>
    <r>
      <rPr>
        <b/>
        <sz val="9"/>
        <color theme="1"/>
        <rFont val="Calibri"/>
        <family val="2"/>
        <scheme val="minor"/>
      </rPr>
      <t xml:space="preserve"> con ingresos superiores a 1.933 UVT deberán presentar una sola declaración en 2023</t>
    </r>
  </si>
  <si>
    <t>VIGENCIA 2022</t>
  </si>
  <si>
    <t>BOGOTÁ</t>
  </si>
  <si>
    <t>Retención en la fuenta de ICA bimestral - 2023</t>
  </si>
  <si>
    <t>Impuesto de ICA 2023 - Régimen preferente</t>
  </si>
  <si>
    <t>Declaración anual de ICA - 2022</t>
  </si>
  <si>
    <t>Impuestos bimestral de ICA 2023</t>
  </si>
  <si>
    <t>Plazos para declarar, año 2022</t>
  </si>
  <si>
    <t>Anual, 2022</t>
  </si>
  <si>
    <t>Si la declaración se presentó entre</t>
  </si>
  <si>
    <t>Se factura por Medellín en el mes  de:</t>
  </si>
  <si>
    <t>Enero - abril de 2023</t>
  </si>
  <si>
    <t>31 de mayo de 2023</t>
  </si>
  <si>
    <t>Mayo - junio de 2023</t>
  </si>
  <si>
    <t>31 de julio de 2023</t>
  </si>
  <si>
    <t>Julio - agosto de 2023</t>
  </si>
  <si>
    <t>29 de septiembre de 2023</t>
  </si>
  <si>
    <t>Septiembre - octubre de 2023</t>
  </si>
  <si>
    <t xml:space="preserve">Noviembre </t>
  </si>
  <si>
    <t>30 de noviembre de 2023</t>
  </si>
  <si>
    <t>Noviembre - diciembre de 2023</t>
  </si>
  <si>
    <t>Declara y paga</t>
  </si>
  <si>
    <t>Plazo para pagar declaración de 2022</t>
  </si>
  <si>
    <t>Fecha de la facturación</t>
  </si>
  <si>
    <t>Pague sin recargo hasta el día</t>
  </si>
  <si>
    <t>Pague con recargo hasta el día</t>
  </si>
  <si>
    <t>Primer bimestre</t>
  </si>
  <si>
    <t>segundo bimestre</t>
  </si>
  <si>
    <t>Tercer bimestre</t>
  </si>
  <si>
    <t>Cuarto bimestre</t>
  </si>
  <si>
    <t>Quinto bimestre</t>
  </si>
  <si>
    <t>31  de enero de 2023</t>
  </si>
  <si>
    <t>24 de febrero de 2023</t>
  </si>
  <si>
    <t>31 de marzo de 2023</t>
  </si>
  <si>
    <t>26 de abril de 2023</t>
  </si>
  <si>
    <t>28 de junio de 2023</t>
  </si>
  <si>
    <t>29 de agosto de 2023</t>
  </si>
  <si>
    <t>27 de octubre de 2023</t>
  </si>
  <si>
    <t>27 de diciembre de 2023</t>
  </si>
  <si>
    <r>
      <t xml:space="preserve">Sexto   Bimestre </t>
    </r>
    <r>
      <rPr>
        <b/>
        <sz val="11"/>
        <color rgb="FFC00000"/>
        <rFont val="Calibri"/>
        <family val="2"/>
        <scheme val="minor"/>
      </rPr>
      <t>(1)</t>
    </r>
  </si>
  <si>
    <t>(1) Las autoretenciones de este bimestre se declararán y pagarán, todos los NIT, el 22 de diciembre de 2023.</t>
  </si>
  <si>
    <t>MEDELLÍN</t>
  </si>
  <si>
    <t>Declaración y pago de las declaraciones de retenciones y  autoretenciones  ICA - Medellín</t>
  </si>
  <si>
    <t>Sexto bimestre</t>
  </si>
  <si>
    <t>Año gravable 2022</t>
  </si>
  <si>
    <t>Mes de febrero de 2023</t>
  </si>
  <si>
    <t>Mes de marzo de 2023</t>
  </si>
  <si>
    <t>Mes de mayo de 2023</t>
  </si>
  <si>
    <t>Mes de julio de 2023</t>
  </si>
  <si>
    <t>Mes de septiembre de 2023</t>
  </si>
  <si>
    <t>Mes de noviembre de 2023</t>
  </si>
  <si>
    <t>Declaración y pago mensual: Grandes Contribuyentes</t>
  </si>
  <si>
    <t>Hasta Febrero, 2023</t>
  </si>
  <si>
    <t>Hasta marzo, 2023</t>
  </si>
  <si>
    <t>Hasta abril, 2023</t>
  </si>
  <si>
    <t>Hasta mayo, 2023</t>
  </si>
  <si>
    <t>Hasta junio, 2023</t>
  </si>
  <si>
    <t>Hasta julio, 2023</t>
  </si>
  <si>
    <t>Hasta agosto, 2023</t>
  </si>
  <si>
    <t>Hasta septiembre, 2023</t>
  </si>
  <si>
    <t>Hasta octubre, 2023</t>
  </si>
  <si>
    <t>Hasta noviembre, 2023</t>
  </si>
  <si>
    <t>Hasta diciembre, 2023</t>
  </si>
  <si>
    <t>Hasta enero, 2024</t>
  </si>
  <si>
    <t>Mes de enero de 2024</t>
  </si>
  <si>
    <t>Hasta el 31 de marzo de 2023</t>
  </si>
  <si>
    <t>Hasta el 31 de mayo de 2023</t>
  </si>
  <si>
    <t>Hasta el 31 de julio de 2023</t>
  </si>
  <si>
    <t>Hasta el 29 de septiembre de 2023</t>
  </si>
  <si>
    <t>Hasta el 30 de noviembre de 2023</t>
  </si>
  <si>
    <t>Hasta el 31 de enero de 2024</t>
  </si>
  <si>
    <t>Declaración y pago bimestral: Contribuyentes del Régimen Común</t>
  </si>
  <si>
    <t>Barranquilla</t>
  </si>
  <si>
    <t>Declaración y pago de retención en la fuente a título de Impuesto de Industria y Comercio (ICA)</t>
  </si>
  <si>
    <t xml:space="preserve">Declaración Anual de Industria y Comercio (ICA) </t>
  </si>
  <si>
    <t xml:space="preserve">Retención en la fuente y Autoretenciones de ICA </t>
  </si>
  <si>
    <t>Declaración anual de ICA, 2022</t>
  </si>
  <si>
    <t>Plazo para pagar ICA, 2022</t>
  </si>
  <si>
    <t>Plazo para del régimen simplificado, 2022</t>
  </si>
  <si>
    <t>Declaración anual  ICA, 2022</t>
  </si>
  <si>
    <t>CALENDARIO</t>
  </si>
  <si>
    <t>Indicadores Bases</t>
  </si>
  <si>
    <t>Indicadores Laborales</t>
  </si>
  <si>
    <t>Indicador</t>
  </si>
  <si>
    <t>Valor</t>
  </si>
  <si>
    <t>Sanción Mínima - DIAN, 10 UVT</t>
  </si>
  <si>
    <t>Límite en ingresos brutos gravados durante 2022 para no ser responsable de IVA, personas naturales.</t>
  </si>
  <si>
    <t xml:space="preserve">   Hora Ordinaria</t>
  </si>
  <si>
    <t>Límite de contratos por venta de bienes o prestación de servicios gravados para no ser resposnable del IVA</t>
  </si>
  <si>
    <t xml:space="preserve"> Recargo Nocturno, 35%</t>
  </si>
  <si>
    <t>TMR -31-dic-2021</t>
  </si>
  <si>
    <t xml:space="preserve">  Hora Extra Diurna, 25%</t>
  </si>
  <si>
    <t xml:space="preserve">  Extra Nocturna, 75%</t>
  </si>
  <si>
    <t xml:space="preserve"> Extra Nucturna Festiva, 150%</t>
  </si>
  <si>
    <t>Salario  Integral : 10 SMMLV más 30% F.P. mínimo</t>
  </si>
  <si>
    <r>
      <t xml:space="preserve">Parifiscales vigentes para </t>
    </r>
    <r>
      <rPr>
        <b/>
        <sz val="6"/>
        <color rgb="FFC00000"/>
        <rFont val="Calibri"/>
        <family val="2"/>
        <scheme val="minor"/>
      </rPr>
      <t>empleadores</t>
    </r>
    <r>
      <rPr>
        <b/>
        <sz val="6"/>
        <color rgb="FF5F6263"/>
        <rFont val="Calibri"/>
        <family val="2"/>
        <scheme val="minor"/>
      </rPr>
      <t xml:space="preserve"> con empleados con salarios mayores a 10 SMMLV </t>
    </r>
  </si>
  <si>
    <t xml:space="preserve">   SENA</t>
  </si>
  <si>
    <t xml:space="preserve">   ICBF</t>
  </si>
  <si>
    <r>
      <t xml:space="preserve">Todos los </t>
    </r>
    <r>
      <rPr>
        <b/>
        <sz val="6"/>
        <color rgb="FFC00000"/>
        <rFont val="Calibri"/>
        <family val="2"/>
        <scheme val="minor"/>
      </rPr>
      <t>empleadores</t>
    </r>
  </si>
  <si>
    <t xml:space="preserve">   CCF</t>
  </si>
  <si>
    <t>IVA, Tarifa General</t>
  </si>
  <si>
    <r>
      <t xml:space="preserve">Prestaciones sociales anuales a cargo de </t>
    </r>
    <r>
      <rPr>
        <b/>
        <sz val="6"/>
        <color rgb="FFC00000"/>
        <rFont val="Calibri"/>
        <family val="2"/>
        <scheme val="minor"/>
      </rPr>
      <t>empleadores</t>
    </r>
  </si>
  <si>
    <t xml:space="preserve">   Cesantía</t>
  </si>
  <si>
    <t xml:space="preserve">   Intereses  anales/ Cesantía</t>
  </si>
  <si>
    <t xml:space="preserve">   Prima semestral</t>
  </si>
  <si>
    <t xml:space="preserve">   Vacaciones anuales</t>
  </si>
  <si>
    <t xml:space="preserve">   Salud</t>
  </si>
  <si>
    <t xml:space="preserve">   Pensión</t>
  </si>
  <si>
    <t>Renta de cooperativas</t>
  </si>
  <si>
    <r>
      <t xml:space="preserve">Seguridad social a cargo del </t>
    </r>
    <r>
      <rPr>
        <b/>
        <sz val="6"/>
        <color rgb="FFC00000"/>
        <rFont val="Calibri"/>
        <family val="2"/>
        <scheme val="minor"/>
      </rPr>
      <t>empleado</t>
    </r>
    <r>
      <rPr>
        <b/>
        <sz val="6"/>
        <color rgb="FF5F6263"/>
        <rFont val="Calibri"/>
        <family val="2"/>
        <scheme val="minor"/>
      </rPr>
      <t xml:space="preserve"> sobre IBC</t>
    </r>
  </si>
  <si>
    <t xml:space="preserve"> Renta presuntiva 2021 y siguientes</t>
  </si>
  <si>
    <t xml:space="preserve">  Aportes a FSP (&gt;4 SMMLV)</t>
  </si>
  <si>
    <r>
      <t xml:space="preserve">Riesgo laboral a cargo del </t>
    </r>
    <r>
      <rPr>
        <b/>
        <sz val="6"/>
        <color rgb="FFC00000"/>
        <rFont val="Calibri"/>
        <family val="2"/>
        <scheme val="minor"/>
      </rPr>
      <t>empleador</t>
    </r>
    <r>
      <rPr>
        <b/>
        <sz val="6"/>
        <color rgb="FF5F6263"/>
        <rFont val="Calibri"/>
        <family val="2"/>
        <scheme val="minor"/>
      </rPr>
      <t xml:space="preserve"> liquidados sobre IBC por tipo de riesgo conforme la actividad del empleado</t>
    </r>
  </si>
  <si>
    <t xml:space="preserve">   Tipo I</t>
  </si>
  <si>
    <t xml:space="preserve">   Tipo II</t>
  </si>
  <si>
    <t xml:space="preserve">   Tipo III</t>
  </si>
  <si>
    <t>A partir del 15 de julio de 2023</t>
  </si>
  <si>
    <t xml:space="preserve">   Tipo IV</t>
  </si>
  <si>
    <t>A partir del 15 de julio de 2024</t>
  </si>
  <si>
    <t>de 47 a 46 h/s</t>
  </si>
  <si>
    <t xml:space="preserve">    Tipo V  </t>
  </si>
  <si>
    <t>A partir del 15 de julio de 2025</t>
  </si>
  <si>
    <r>
      <t xml:space="preserve">Valor hora laboral ordinaria y extraordinaria sobre la base de 1 SMMLV y de una jornada de </t>
    </r>
    <r>
      <rPr>
        <b/>
        <sz val="6"/>
        <color rgb="FFC00000"/>
        <rFont val="Calibri"/>
        <family val="2"/>
        <scheme val="minor"/>
      </rPr>
      <t>240 horas/Mes(*)</t>
    </r>
  </si>
  <si>
    <r>
      <t>La Ley 2101 de 2021, redujo la jornada laboral semanal de 48 a 42 horas, reducción que se aplicará en 5 años</t>
    </r>
    <r>
      <rPr>
        <b/>
        <sz val="6.5"/>
        <color rgb="FFC00000"/>
        <rFont val="Calibri"/>
        <family val="2"/>
        <scheme val="minor"/>
      </rPr>
      <t>(*)</t>
    </r>
    <r>
      <rPr>
        <b/>
        <sz val="6.5"/>
        <color rgb="FF5F6263"/>
        <rFont val="Calibri"/>
        <family val="2"/>
        <scheme val="minor"/>
      </rPr>
      <t>, así:</t>
    </r>
  </si>
  <si>
    <t>de 46 a 42 h/s</t>
  </si>
  <si>
    <t>TMR -31-dic-2022</t>
  </si>
  <si>
    <t>Tasa de intervención Banrep  a 31-dic-2021</t>
  </si>
  <si>
    <t>Tasa de intervención  Banrep a 31-dic-2022</t>
  </si>
  <si>
    <t>IPC,2021</t>
  </si>
  <si>
    <t>IPC, 2022</t>
  </si>
  <si>
    <t>Tarifa de Impuesto de renta, 2023</t>
  </si>
  <si>
    <t>Tarifa de ganancias ocasionales, 2023</t>
  </si>
  <si>
    <t>de 48 a 47 h/s</t>
  </si>
  <si>
    <t xml:space="preserve"> Extra Diurna Festiva, 100%</t>
  </si>
  <si>
    <t>Tarifa General Renta 2022</t>
  </si>
  <si>
    <t>Tarifa de ganancias ocasionales, 2022</t>
  </si>
  <si>
    <t>Renta para  Empresa en Zona Franca, 2022 y 2023</t>
  </si>
  <si>
    <t>% Intereses presuntivos, 2022</t>
  </si>
  <si>
    <t>Ajustes del Costo Fiscal de Activos Fijos 2022, D.2609/21</t>
  </si>
  <si>
    <t>Otros datos de interés</t>
  </si>
  <si>
    <t>OTROS DATOS DE INTERES, 2023</t>
  </si>
  <si>
    <t>Certificados de impuestos y otros</t>
  </si>
  <si>
    <t>Hága CLIC sobre los enlaces</t>
  </si>
  <si>
    <r>
      <rPr>
        <b/>
        <sz val="10"/>
        <color theme="0"/>
        <rFont val="Calibri"/>
        <family val="2"/>
        <scheme val="minor"/>
      </rPr>
      <t>(1)</t>
    </r>
    <r>
      <rPr>
        <sz val="10"/>
        <color theme="0"/>
        <rFont val="Calibri"/>
        <family val="2"/>
        <scheme val="minor"/>
      </rPr>
      <t xml:space="preserve"> El valor de la primera cuota no podrá ser inferior al 20% del valor a pagar del año gravable de 2021. El valor así liquidado se restará del valor que resulte a pagar en la declaración de renta  (impuesto a cargo - retenciones - anticipo 2022 + anticipo 2023) que habrá de presentarse en la fecha límite del vencimiento de la segunda cuota. El saldo que resulte así calculado, se pagará 50% en la segunda cuota y restante 50% en la tercera cuota. Si resulta saldo a favor en la liquidación privada de 2022, no habrá necesidad de pagar valor alguno en la primer cuota.</t>
    </r>
  </si>
  <si>
    <r>
      <rPr>
        <b/>
        <sz val="10"/>
        <color theme="0"/>
        <rFont val="Calibri"/>
        <family val="2"/>
        <scheme val="minor"/>
      </rPr>
      <t>(2)</t>
    </r>
    <r>
      <rPr>
        <sz val="10"/>
        <color theme="0"/>
        <rFont val="Calibri"/>
        <family val="2"/>
        <scheme val="minor"/>
      </rPr>
      <t xml:space="preserve"> Recuerde que si se posee activos en el exterior, con esta misma fecha habrá que presentarse la declaración informativa de activos en el exterior. </t>
    </r>
  </si>
  <si>
    <r>
      <rPr>
        <b/>
        <sz val="10"/>
        <color theme="0"/>
        <rFont val="Calibri"/>
        <family val="2"/>
        <scheme val="minor"/>
      </rPr>
      <t>(3)</t>
    </r>
    <r>
      <rPr>
        <sz val="10"/>
        <color theme="0"/>
        <rFont val="Calibri"/>
        <family val="2"/>
        <scheme val="minor"/>
      </rPr>
      <t xml:space="preserve"> Las instituciones financiera deberán liquidar un antipo de la sobretasa calculada sobre la base de la renta del año 2022  de conformidad con el parágrafo 8 del artículo 240 del ET, adicionado por el artículo 7 de la Ley 2155 de 2021 y pagarla en dos cuotas iguales, 50% con la presentción de la declaración y 50% restante en la tercer cuota.</t>
    </r>
  </si>
  <si>
    <r>
      <rPr>
        <b/>
        <sz val="8"/>
        <color theme="0"/>
        <rFont val="Calibri"/>
        <family val="2"/>
        <scheme val="minor"/>
      </rPr>
      <t xml:space="preserve">(1) </t>
    </r>
    <r>
      <rPr>
        <sz val="8"/>
        <color theme="0"/>
        <rFont val="Calibri"/>
        <family val="2"/>
        <scheme val="minor"/>
      </rPr>
      <t>Las instituciones financieras que no tengan la calidad de gandes contribuyentes, obligadas al pago de la sobretasa del parágro 8 del artículo 240 del E.T., liquidaran un anticipo de la sobretasa calculado sobre l base gravable de la renta del año 2022 y la cancelaran en dos cuotas iguales en los plazos establecidos para las personas jurídicas y demás contribuyentes.</t>
    </r>
  </si>
  <si>
    <t>www.sfai.co</t>
  </si>
  <si>
    <t>Declaración bimestral del impuesto nacional al carbono</t>
  </si>
  <si>
    <t>|</t>
  </si>
  <si>
    <t>18.</t>
  </si>
  <si>
    <t>Contraportada</t>
  </si>
  <si>
    <t>18.1.</t>
  </si>
  <si>
    <t>Portafolio de SFAI Colombia</t>
  </si>
  <si>
    <t>Declaración informativa de precios de transferencia</t>
  </si>
  <si>
    <t xml:space="preserve"> Declaración de precios de transferencia</t>
  </si>
  <si>
    <t>Informe maestro de precios de transferencia</t>
  </si>
  <si>
    <t>Retenciones por concepto de: Salarios, Honorarios, servicios, compras, dividendos y otros conceptos, pagos al exterior y retención en la fuente por IVA</t>
  </si>
  <si>
    <t>DECLARACIÓN BIMESTRAL</t>
  </si>
  <si>
    <t>INFORMACION EXÓGENA SUPERINTEDENCIA DE SOCIEDADES</t>
  </si>
  <si>
    <t>Fecha límes hasta 23 de febrero de 2023</t>
  </si>
  <si>
    <t>Si eres contribuyente del régimen simplificado el pago de la declaración, deberá realizarse en las siguientes fechas:</t>
  </si>
  <si>
    <t>Salario mínimo 2023</t>
  </si>
  <si>
    <t>Auxilio de transporte 2023</t>
  </si>
  <si>
    <t>UVT 2023</t>
  </si>
  <si>
    <t>lmpuesto al consumo de bolsas plásticas para el año 2023</t>
  </si>
  <si>
    <r>
      <t xml:space="preserve">Seguridad social a cargo del </t>
    </r>
    <r>
      <rPr>
        <b/>
        <sz val="6"/>
        <color rgb="FFC00000"/>
        <rFont val="Calibri"/>
        <family val="2"/>
        <scheme val="minor"/>
      </rPr>
      <t>empleador</t>
    </r>
    <r>
      <rPr>
        <b/>
        <sz val="6"/>
        <color rgb="FF5F6263"/>
        <rFont val="Calibri"/>
        <family val="2"/>
        <scheme val="minor"/>
      </rPr>
      <t xml:space="preserve"> sobre IBC</t>
    </r>
  </si>
  <si>
    <t>Declaración y pago mensual de retenciones: Grandes contribuyentes, 2023</t>
  </si>
  <si>
    <t>Declaración y pago bimestral de retenciones: Régimen común, 2023</t>
  </si>
  <si>
    <t>Declaración y pago bimestral de retenciones: Régimen simplificado, 2023</t>
  </si>
  <si>
    <t>Declaración Anual  Consolidada del IVA</t>
  </si>
  <si>
    <t>Declaración de IVA Cuatrimestral</t>
  </si>
  <si>
    <t>Información exogena para grandes contribuyes y personas jurídicas y naturales</t>
  </si>
  <si>
    <t>Declaración anual de Industria y Comercio, ingresos &gt;32.998 UVT y &lt;=131.952 UVT (Año 2022)</t>
  </si>
  <si>
    <t>Declaración y pago de las declaraciones de retenciones, año 2023</t>
  </si>
  <si>
    <t>Declaración y Pago Bimestral</t>
  </si>
  <si>
    <t>I</t>
  </si>
  <si>
    <t>Enero - Febrero</t>
  </si>
  <si>
    <t>II</t>
  </si>
  <si>
    <t>Marzo - Abril</t>
  </si>
  <si>
    <t>III</t>
  </si>
  <si>
    <t>Mayo - Junio</t>
  </si>
  <si>
    <t>Hasta 13 de marzo, 2023</t>
  </si>
  <si>
    <t>Hasta 15 de mayo, 2023</t>
  </si>
  <si>
    <t>Hasta  13 de julio, 2023</t>
  </si>
  <si>
    <t>IV</t>
  </si>
  <si>
    <t>Julio - Agosto</t>
  </si>
  <si>
    <t>Septiembre - Octubre</t>
  </si>
  <si>
    <t>VI</t>
  </si>
  <si>
    <t xml:space="preserve">Noviembre - Diciembre </t>
  </si>
  <si>
    <t>Hasta 13 de septiembre, 2023</t>
  </si>
  <si>
    <t>Hasta 15 de noviembre, 2023</t>
  </si>
  <si>
    <t>Hasta 16 de enero, 2024</t>
  </si>
  <si>
    <t>IMPUESTOS SOBRE LAS VENTAS (IVA)</t>
  </si>
  <si>
    <t>PRESTACIÓN DE SERVICIOS DESDE EL EXTERIOR</t>
  </si>
  <si>
    <t>Declaración de IVA bimestral - Servicios desde el exterior</t>
  </si>
  <si>
    <t>5.3.</t>
  </si>
  <si>
    <t>Informe país por país de precios de de transferencia</t>
  </si>
  <si>
    <t>Retenciones y Autoretenciones de Industria y Comercio, año 2023</t>
  </si>
  <si>
    <t>(+) DECLARACION DE ACTIVOS EN EXTERIOR ( Art. 607, E.T.)</t>
  </si>
  <si>
    <t>La Ley 2217 de 2022, modificó el art. 607 del E.T. para que  regímenes con el RST, presenten declaración de activos en el exterior, cuando haya lugar.</t>
  </si>
  <si>
    <t>3.4.</t>
  </si>
  <si>
    <t>Personas del Régimen Simple de Tributación (RST)</t>
  </si>
  <si>
    <t xml:space="preserve"> Impuesto al patrimonio</t>
  </si>
  <si>
    <t>IMPUESTO AL PATRIMONIO</t>
  </si>
  <si>
    <t>DECLARACIÓN ANUAL</t>
  </si>
  <si>
    <t>Declración y primera Cuota</t>
  </si>
  <si>
    <t>Pago segunda cuota</t>
  </si>
  <si>
    <t>DECLARACIÓN MENSUAL- Retefuente de: Renta, Timbre, IVA y autorentenciones</t>
  </si>
  <si>
    <t>Pagos de bienes o servicios a no residentes con presencia económica significativa en favor de residentes (Inciso 8, Art. 408 E.T.)</t>
  </si>
  <si>
    <t>Concepto de gananacia ocasional de no residentes personas naturales  .Art. 316 E.T.</t>
  </si>
  <si>
    <t>IMPUESTO SOBRE LA RENTA Y COMPLEMENTARIOS</t>
  </si>
  <si>
    <t>ANTICIPO SOBRETASA: Sector financiero y otros y Generadores de Energía hidráulica</t>
  </si>
  <si>
    <t>Pago de la primera cuota (50%) de la Sobretasa</t>
  </si>
  <si>
    <t>Pago de la segunda cuota (50%) de la Sobretasa</t>
  </si>
  <si>
    <t>Anticipo de la sobretasa (Párrafo 2 y 4, Art. 240 ET)</t>
  </si>
  <si>
    <t>18.2</t>
  </si>
  <si>
    <t>Declaración y pago del Impuesto al patrimonio</t>
  </si>
  <si>
    <t>Sobretasa del sector financiero y del mercado de valores</t>
  </si>
  <si>
    <t>Sobretasa de los generadores de energía hídrica</t>
  </si>
  <si>
    <t>19.</t>
  </si>
  <si>
    <t>Impuesto a productos plásticos de un solo uso</t>
  </si>
  <si>
    <t>19.1.</t>
  </si>
  <si>
    <t>Declaración y pago anual del impuesto de porductos plásticos de un solo uso</t>
  </si>
  <si>
    <t>20.</t>
  </si>
  <si>
    <t>Impuesto a las bebidas ultraprocesadas azucaradas y comestibles ultraprocesados</t>
  </si>
  <si>
    <t>20.1.</t>
  </si>
  <si>
    <t>Declración y pago del sexto bimestre del impuesto</t>
  </si>
  <si>
    <t>IMPUESTO NACIONAL SOBRE PRODUCTOS PLÁSTICOS DE UN SOLO USO</t>
  </si>
  <si>
    <t xml:space="preserve">DECLARACIÓN ANUAL </t>
  </si>
  <si>
    <t xml:space="preserve">Declaración y pago única cuota </t>
  </si>
  <si>
    <t xml:space="preserve">IMPUESTO A LAS BEBIDAS Y COMESTIBLES ULTRAPORCESADAS AZUCARADAS </t>
  </si>
  <si>
    <t>Declaración y pago bimestre noviembre - dicimebre de 2023 (*)</t>
  </si>
  <si>
    <t>(*) El impuesto intriducido a la estructura tributaria colombiana, de acuerdo con la Ley 2217 de 2022, comienza a operar para el sexto bimestre de 2023</t>
  </si>
  <si>
    <t>21.</t>
  </si>
  <si>
    <t>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</si>
</sst>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6" formatCode="&quot;$&quot;#,##0;[Red]\-&quot;$&quot;#,##0"/>
    <numFmt numFmtId="8" formatCode="&quot;$&quot;#,##0.00;[Red]\-&quot;$&quot;#,##0.00"/>
    <numFmt numFmtId="41" formatCode="_-* #,##0_-;\-* #,##0_-;_-* &quot;-&quot;_-;_-@_-"/>
    <numFmt numFmtId="43" formatCode="_-* #,##0.00_-;\-* #,##0.00_-;_-* &quot;-&quot;??_-;_-@_-"/>
    <numFmt numFmtId="164" formatCode="mmmm"/>
    <numFmt numFmtId="165" formatCode="d"/>
    <numFmt numFmtId="166" formatCode="mmmm\ yyyy"/>
    <numFmt numFmtId="167" formatCode="[$-240A]d&quot; de &quot;mmmm&quot; de &quot;yyyy;@"/>
    <numFmt numFmtId="168" formatCode="[$$-240A]\ #,##0_);\([$$-240A]\ #,##0\)"/>
    <numFmt numFmtId="169" formatCode="0.0%"/>
  </numFmts>
  <fonts count="9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00"/>
      <color theme="3"/>
      <name val="Calibri Light"/>
      <family val="2"/>
      <scheme val="major"/>
    </font>
    <font>
      <b/>
      <sz val="20"/>
      <color theme="4"/>
      <name val="Calibri Light"/>
      <family val="2"/>
      <scheme val="major"/>
    </font>
    <font>
      <b/>
      <sz val="24"/>
      <color theme="4"/>
      <name val="Calibri"/>
      <family val="2"/>
      <scheme val="minor"/>
    </font>
    <font>
      <sz val="12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b/>
      <sz val="10"/>
      <color theme="3"/>
      <name val="Calibri Light"/>
      <family val="2"/>
      <scheme val="major"/>
    </font>
    <font>
      <sz val="9"/>
      <color theme="4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20"/>
      <name val="Calibri Light"/>
      <family val="2"/>
      <scheme val="major"/>
    </font>
    <font>
      <b/>
      <sz val="24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32"/>
      <color theme="0"/>
      <name val="Calibri Light"/>
      <family val="2"/>
      <scheme val="major"/>
    </font>
    <font>
      <b/>
      <sz val="20"/>
      <color theme="0"/>
      <name val="Calibri Light"/>
      <family val="2"/>
      <scheme val="major"/>
    </font>
    <font>
      <b/>
      <sz val="14"/>
      <color theme="0"/>
      <name val="Calibri Light"/>
      <family val="2"/>
      <scheme val="major"/>
    </font>
    <font>
      <b/>
      <sz val="30"/>
      <color rgb="FF200C25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1"/>
      <color rgb="FF200C25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u/>
      <sz val="9"/>
      <color theme="10"/>
      <name val="Calibri"/>
      <family val="2"/>
      <scheme val="minor"/>
    </font>
    <font>
      <b/>
      <sz val="12"/>
      <color rgb="FFFF7F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rgb="FF6E362A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6E362A"/>
      <name val="Calibri"/>
      <family val="2"/>
      <scheme val="minor"/>
    </font>
    <font>
      <b/>
      <sz val="10"/>
      <color rgb="FF6E362A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FF7F00"/>
      <name val="Calibri"/>
      <family val="2"/>
      <scheme val="minor"/>
    </font>
    <font>
      <b/>
      <sz val="12"/>
      <color rgb="FF07234A"/>
      <name val="Calibri"/>
      <family val="2"/>
      <scheme val="minor"/>
    </font>
    <font>
      <b/>
      <sz val="11"/>
      <color rgb="FF07234A"/>
      <name val="Calibri"/>
      <family val="2"/>
      <scheme val="minor"/>
    </font>
    <font>
      <b/>
      <sz val="18"/>
      <color rgb="FF07234A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6E362A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3"/>
      <color theme="0"/>
      <name val="Arial Nova Cond"/>
      <family val="2"/>
    </font>
    <font>
      <b/>
      <sz val="10"/>
      <color theme="0"/>
      <name val="Calibri"/>
      <family val="2"/>
      <scheme val="minor"/>
    </font>
    <font>
      <b/>
      <sz val="6.5"/>
      <color rgb="FFFDFDFD"/>
      <name val="Calibri"/>
      <family val="2"/>
      <scheme val="minor"/>
    </font>
    <font>
      <sz val="6.5"/>
      <color rgb="FF5F6263"/>
      <name val="Calibri"/>
      <family val="2"/>
      <scheme val="minor"/>
    </font>
    <font>
      <b/>
      <sz val="6"/>
      <color rgb="FF5F6263"/>
      <name val="Calibri"/>
      <family val="2"/>
      <scheme val="minor"/>
    </font>
    <font>
      <b/>
      <sz val="6"/>
      <color rgb="FFC00000"/>
      <name val="Calibri"/>
      <family val="2"/>
      <scheme val="minor"/>
    </font>
    <font>
      <b/>
      <sz val="6.5"/>
      <color rgb="FF5F6263"/>
      <name val="Calibri"/>
      <family val="2"/>
      <scheme val="minor"/>
    </font>
    <font>
      <b/>
      <sz val="6.5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4"/>
      <color rgb="FFFF000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200C25"/>
        <bgColor auto="1"/>
      </patternFill>
    </fill>
    <fill>
      <patternFill patternType="solid">
        <fgColor rgb="FF200C2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8DB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77692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200C25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8C8C8"/>
        <bgColor indexed="64"/>
      </patternFill>
    </fill>
    <fill>
      <patternFill patternType="solid">
        <fgColor rgb="FF07234A"/>
        <bgColor indexed="64"/>
      </patternFill>
    </fill>
    <fill>
      <patternFill patternType="solid">
        <fgColor rgb="FFAF95A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7F00"/>
        <bgColor indexed="64"/>
      </patternFill>
    </fill>
  </fills>
  <borders count="188">
    <border>
      <left/>
      <right/>
      <top/>
      <bottom/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3"/>
      </bottom>
      <diagonal/>
    </border>
    <border>
      <left/>
      <right/>
      <top style="dotted">
        <color theme="4"/>
      </top>
      <bottom style="thick">
        <color theme="3"/>
      </bottom>
      <diagonal/>
    </border>
    <border>
      <left style="thin">
        <color theme="0"/>
      </left>
      <right style="thin">
        <color theme="0"/>
      </right>
      <top style="dotted">
        <color theme="4"/>
      </top>
      <bottom style="thick">
        <color theme="3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2"/>
      </left>
      <right style="medium">
        <color theme="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ck">
        <color theme="3"/>
      </top>
      <bottom/>
      <diagonal/>
    </border>
    <border>
      <left/>
      <right/>
      <top style="dashed">
        <color rgb="FFFFFF00"/>
      </top>
      <bottom style="thick">
        <color rgb="FFFFFF00"/>
      </bottom>
      <diagonal/>
    </border>
    <border>
      <left style="medium">
        <color theme="2"/>
      </left>
      <right style="medium">
        <color theme="2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theme="0"/>
      </left>
      <right style="medium">
        <color theme="0"/>
      </right>
      <top/>
      <bottom style="hair">
        <color indexed="64"/>
      </bottom>
      <diagonal/>
    </border>
    <border>
      <left style="medium">
        <color theme="0"/>
      </left>
      <right style="medium">
        <color theme="0"/>
      </right>
      <top style="thick">
        <color theme="1" tint="4.9989318521683403E-2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theme="2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theme="2"/>
      </left>
      <right style="hair">
        <color indexed="64"/>
      </right>
      <top/>
      <bottom style="hair">
        <color indexed="64"/>
      </bottom>
      <diagonal/>
    </border>
    <border>
      <left style="medium">
        <color theme="0"/>
      </left>
      <right style="medium">
        <color theme="0"/>
      </right>
      <top style="thick">
        <color theme="1" tint="4.9989318521683403E-2"/>
      </top>
      <bottom/>
      <diagonal/>
    </border>
    <border>
      <left style="medium">
        <color theme="0"/>
      </left>
      <right style="hair">
        <color indexed="64"/>
      </right>
      <top style="thick">
        <color theme="1" tint="4.9989318521683403E-2"/>
      </top>
      <bottom style="hair">
        <color indexed="64"/>
      </bottom>
      <diagonal/>
    </border>
    <border>
      <left style="medium">
        <color theme="0"/>
      </left>
      <right style="hair">
        <color indexed="64"/>
      </right>
      <top/>
      <bottom/>
      <diagonal/>
    </border>
    <border>
      <left style="medium">
        <color theme="0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theme="0"/>
      </right>
      <top style="thick">
        <color theme="1" tint="4.9989318521683403E-2"/>
      </top>
      <bottom/>
      <diagonal/>
    </border>
    <border>
      <left style="hair">
        <color indexed="64"/>
      </left>
      <right style="medium">
        <color theme="0"/>
      </right>
      <top/>
      <bottom/>
      <diagonal/>
    </border>
    <border>
      <left style="hair">
        <color indexed="64"/>
      </left>
      <right style="medium">
        <color theme="2"/>
      </right>
      <top/>
      <bottom style="hair">
        <color indexed="64"/>
      </bottom>
      <diagonal/>
    </border>
    <border>
      <left style="hair">
        <color indexed="64"/>
      </left>
      <right style="medium">
        <color theme="2"/>
      </right>
      <top/>
      <bottom/>
      <diagonal/>
    </border>
    <border>
      <left style="hair">
        <color indexed="64"/>
      </left>
      <right style="medium">
        <color theme="0"/>
      </right>
      <top/>
      <bottom style="hair">
        <color indexed="64"/>
      </bottom>
      <diagonal/>
    </border>
    <border>
      <left style="hair">
        <color indexed="64"/>
      </left>
      <right style="medium">
        <color theme="0"/>
      </right>
      <top style="hair">
        <color indexed="64"/>
      </top>
      <bottom/>
      <diagonal/>
    </border>
    <border>
      <left style="medium">
        <color theme="0"/>
      </left>
      <right style="medium">
        <color theme="0"/>
      </right>
      <top style="hair">
        <color indexed="64"/>
      </top>
      <bottom/>
      <diagonal/>
    </border>
    <border>
      <left style="medium">
        <color theme="0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theme="0"/>
      </right>
      <top style="thick">
        <color theme="1" tint="4.9989318521683403E-2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theme="0"/>
      </right>
      <top/>
      <bottom/>
      <diagonal/>
    </border>
    <border>
      <left style="hair">
        <color indexed="64"/>
      </left>
      <right style="medium">
        <color theme="0"/>
      </right>
      <top style="dotted">
        <color theme="4"/>
      </top>
      <bottom style="thick">
        <color theme="1" tint="4.9989318521683403E-2"/>
      </bottom>
      <diagonal/>
    </border>
    <border>
      <left style="medium">
        <color theme="0"/>
      </left>
      <right style="medium">
        <color theme="0"/>
      </right>
      <top style="dotted">
        <color theme="4"/>
      </top>
      <bottom style="thick">
        <color theme="1" tint="4.9989318521683403E-2"/>
      </bottom>
      <diagonal/>
    </border>
    <border>
      <left style="medium">
        <color theme="0"/>
      </left>
      <right style="hair">
        <color indexed="64"/>
      </right>
      <top style="dotted">
        <color theme="4"/>
      </top>
      <bottom style="thick">
        <color theme="1" tint="4.9989318521683403E-2"/>
      </bottom>
      <diagonal/>
    </border>
    <border>
      <left style="medium">
        <color theme="0"/>
      </left>
      <right/>
      <top style="dotted">
        <color theme="4"/>
      </top>
      <bottom style="thick">
        <color theme="1" tint="4.9989318521683403E-2"/>
      </bottom>
      <diagonal/>
    </border>
    <border>
      <left/>
      <right/>
      <top style="hair">
        <color theme="1"/>
      </top>
      <bottom/>
      <diagonal/>
    </border>
    <border>
      <left/>
      <right/>
      <top style="hair">
        <color theme="1"/>
      </top>
      <bottom style="dotted">
        <color theme="4"/>
      </bottom>
      <diagonal/>
    </border>
    <border>
      <left/>
      <right/>
      <top/>
      <bottom style="hair">
        <color theme="1"/>
      </bottom>
      <diagonal/>
    </border>
    <border>
      <left style="hair">
        <color theme="1"/>
      </left>
      <right/>
      <top style="hair">
        <color theme="1"/>
      </top>
      <bottom/>
      <diagonal/>
    </border>
    <border>
      <left style="hair">
        <color theme="1"/>
      </left>
      <right/>
      <top/>
      <bottom/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/>
      <right style="hair">
        <color theme="1"/>
      </right>
      <top/>
      <bottom/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indexed="64"/>
      </left>
      <right/>
      <top/>
      <bottom style="thick">
        <color rgb="FF200C25"/>
      </bottom>
      <diagonal/>
    </border>
    <border>
      <left/>
      <right/>
      <top/>
      <bottom style="thick">
        <color rgb="FF200C25"/>
      </bottom>
      <diagonal/>
    </border>
    <border>
      <left style="hair">
        <color indexed="64"/>
      </left>
      <right/>
      <top style="hair">
        <color indexed="64"/>
      </top>
      <bottom style="hair">
        <color rgb="FF200C25"/>
      </bottom>
      <diagonal/>
    </border>
    <border>
      <left/>
      <right/>
      <top style="hair">
        <color indexed="64"/>
      </top>
      <bottom style="hair">
        <color rgb="FF200C2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/>
      <diagonal/>
    </border>
    <border>
      <left/>
      <right/>
      <top style="medium">
        <color theme="0" tint="-4.9989318521683403E-2"/>
      </top>
      <bottom/>
      <diagonal/>
    </border>
    <border>
      <left/>
      <right style="medium">
        <color theme="0" tint="-4.9989318521683403E-2"/>
      </right>
      <top style="medium">
        <color theme="0" tint="-4.9989318521683403E-2"/>
      </top>
      <bottom/>
      <diagonal/>
    </border>
    <border>
      <left style="medium">
        <color theme="0" tint="-4.9989318521683403E-2"/>
      </left>
      <right/>
      <top/>
      <bottom/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 tint="-4.9989318521683403E-2"/>
      </right>
      <top style="thin">
        <color theme="0"/>
      </top>
      <bottom style="thin">
        <color theme="0"/>
      </bottom>
      <diagonal/>
    </border>
    <border>
      <left style="medium">
        <color theme="0" tint="-4.9989318521683403E-2"/>
      </left>
      <right style="thin">
        <color theme="0"/>
      </right>
      <top/>
      <bottom/>
      <diagonal/>
    </border>
    <border>
      <left style="thin">
        <color indexed="64"/>
      </left>
      <right style="medium">
        <color theme="0" tint="-4.9989318521683403E-2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 tint="-4.9989318521683403E-2"/>
      </right>
      <top/>
      <bottom style="thin">
        <color theme="0"/>
      </bottom>
      <diagonal/>
    </border>
    <border>
      <left/>
      <right style="medium">
        <color theme="0" tint="-4.9989318521683403E-2"/>
      </right>
      <top style="thin">
        <color theme="0"/>
      </top>
      <bottom style="thin">
        <color theme="0"/>
      </bottom>
      <diagonal/>
    </border>
    <border>
      <left style="medium">
        <color theme="0" tint="-4.9989318521683403E-2"/>
      </left>
      <right style="thin">
        <color theme="0"/>
      </right>
      <top style="thin">
        <color theme="0"/>
      </top>
      <bottom style="medium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 tint="-4.9989318521683403E-2"/>
      </bottom>
      <diagonal/>
    </border>
    <border>
      <left style="thin">
        <color theme="0"/>
      </left>
      <right style="medium">
        <color theme="0" tint="-4.9989318521683403E-2"/>
      </right>
      <top style="thin">
        <color theme="0"/>
      </top>
      <bottom style="medium">
        <color theme="0" tint="-4.9989318521683403E-2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/>
      <bottom style="thin">
        <color rgb="FFFEAE02"/>
      </bottom>
      <diagonal/>
    </border>
    <border>
      <left style="thin">
        <color rgb="FF808DBC"/>
      </left>
      <right/>
      <top/>
      <bottom/>
      <diagonal/>
    </border>
    <border>
      <left/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5" tint="-0.249977111117893"/>
      </top>
      <bottom style="thin">
        <color theme="0"/>
      </bottom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/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/>
      </left>
      <right/>
      <top/>
      <bottom style="thick">
        <color theme="4" tint="-0.499984740745262"/>
      </bottom>
      <diagonal/>
    </border>
    <border>
      <left/>
      <right style="thin">
        <color theme="0"/>
      </right>
      <top/>
      <bottom style="thick">
        <color theme="4" tint="-0.499984740745262"/>
      </bottom>
      <diagonal/>
    </border>
    <border>
      <left/>
      <right style="thin">
        <color theme="0" tint="-4.9989318521683403E-2"/>
      </right>
      <top style="thick">
        <color theme="4" tint="-0.49998474074526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rgb="FF07234A"/>
      </bottom>
      <diagonal/>
    </border>
    <border>
      <left/>
      <right/>
      <top/>
      <bottom style="thin">
        <color rgb="FF07234A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rgb="FF07234A"/>
      </bottom>
      <diagonal/>
    </border>
    <border>
      <left/>
      <right/>
      <top style="thin">
        <color rgb="FF07234A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rgb="FF07234A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rgb="FF07234A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rgb="FF07234A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thin">
        <color theme="0"/>
      </right>
      <top/>
      <bottom style="thin">
        <color rgb="FF07234A"/>
      </bottom>
      <diagonal/>
    </border>
    <border>
      <left/>
      <right style="thin">
        <color theme="0"/>
      </right>
      <top style="thin">
        <color rgb="FF07234A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rgb="FF808DBC"/>
      </right>
      <top/>
      <bottom/>
      <diagonal/>
    </border>
    <border>
      <left/>
      <right style="thin">
        <color rgb="FF808DBC"/>
      </right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ck">
        <color theme="4" tint="-0.499984740745262"/>
      </bottom>
      <diagonal/>
    </border>
    <border>
      <left/>
      <right style="thin">
        <color indexed="64"/>
      </right>
      <top/>
      <bottom style="thick">
        <color theme="4" tint="-0.499984740745262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5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5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rgb="FF07234A"/>
      </bottom>
      <diagonal/>
    </border>
    <border>
      <left/>
      <right/>
      <top style="thin">
        <color rgb="FF07234A"/>
      </top>
      <bottom style="thin">
        <color rgb="FF07234A"/>
      </bottom>
      <diagonal/>
    </border>
    <border>
      <left style="thin">
        <color theme="0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/>
      </left>
      <right/>
      <top style="thin">
        <color rgb="FF07234A"/>
      </top>
      <bottom/>
      <diagonal/>
    </border>
    <border>
      <left/>
      <right/>
      <top style="thin">
        <color rgb="FF07234A"/>
      </top>
      <bottom/>
      <diagonal/>
    </border>
    <border>
      <left style="thin">
        <color theme="0" tint="-4.9989318521683403E-2"/>
      </left>
      <right/>
      <top style="thin">
        <color rgb="FF07234A"/>
      </top>
      <bottom style="thin">
        <color theme="0"/>
      </bottom>
      <diagonal/>
    </border>
    <border>
      <left/>
      <right/>
      <top style="thin">
        <color rgb="FF07234A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rgb="FF07234A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indexed="64"/>
      </top>
      <bottom style="thin">
        <color theme="0"/>
      </bottom>
      <diagonal/>
    </border>
    <border>
      <left style="hair">
        <color rgb="FFB6B9B9"/>
      </left>
      <right/>
      <top style="hair">
        <color rgb="FFB6B9B9"/>
      </top>
      <bottom style="thin">
        <color theme="0"/>
      </bottom>
      <diagonal/>
    </border>
    <border>
      <left/>
      <right style="hair">
        <color rgb="FFB6B9B9"/>
      </right>
      <top style="hair">
        <color rgb="FFB6B9B9"/>
      </top>
      <bottom style="thin">
        <color theme="0"/>
      </bottom>
      <diagonal/>
    </border>
    <border>
      <left style="hair">
        <color rgb="FFB6B9B9"/>
      </left>
      <right style="hair">
        <color rgb="FFB6B9B9"/>
      </right>
      <top style="hair">
        <color rgb="FFB6B9B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double">
        <color theme="0"/>
      </top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/>
      <top style="double">
        <color theme="0"/>
      </top>
      <bottom/>
      <diagonal/>
    </border>
    <border>
      <left/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double">
        <color theme="0"/>
      </left>
      <right/>
      <top/>
      <bottom style="double">
        <color theme="0"/>
      </bottom>
      <diagonal/>
    </border>
    <border>
      <left/>
      <right style="double">
        <color theme="0"/>
      </right>
      <top/>
      <bottom style="double">
        <color theme="0"/>
      </bottom>
      <diagonal/>
    </border>
  </borders>
  <cellStyleXfs count="14">
    <xf numFmtId="0" fontId="0" fillId="0" borderId="0"/>
    <xf numFmtId="0" fontId="3" fillId="4" borderId="0">
      <alignment vertical="center"/>
    </xf>
    <xf numFmtId="0" fontId="5" fillId="4" borderId="2" applyNumberFormat="0" applyProtection="0">
      <alignment vertical="center"/>
    </xf>
    <xf numFmtId="0" fontId="7" fillId="4" borderId="0" applyNumberFormat="0" applyBorder="0" applyProtection="0">
      <alignment vertical="center"/>
    </xf>
    <xf numFmtId="0" fontId="4" fillId="4" borderId="0" applyNumberFormat="0" applyBorder="0" applyProtection="0"/>
    <xf numFmtId="0" fontId="8" fillId="4" borderId="3" applyNumberFormat="0" applyProtection="0">
      <alignment horizontal="center" vertical="center"/>
    </xf>
    <xf numFmtId="0" fontId="9" fillId="4" borderId="4" applyNumberFormat="0" applyProtection="0">
      <alignment vertical="center"/>
    </xf>
    <xf numFmtId="0" fontId="11" fillId="3" borderId="0" applyNumberFormat="0" applyBorder="0" applyAlignment="0" applyProtection="0"/>
    <xf numFmtId="0" fontId="1" fillId="2" borderId="8" applyNumberFormat="0" applyAlignment="0" applyProtection="0"/>
    <xf numFmtId="0" fontId="17" fillId="0" borderId="0" applyNumberFormat="0" applyFill="0" applyBorder="0" applyAlignment="0" applyProtection="0"/>
    <xf numFmtId="0" fontId="22" fillId="0" borderId="0"/>
    <xf numFmtId="4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844">
    <xf numFmtId="0" fontId="0" fillId="0" borderId="0" xfId="0"/>
    <xf numFmtId="0" fontId="3" fillId="4" borderId="0" xfId="1">
      <alignment vertical="center"/>
    </xf>
    <xf numFmtId="0" fontId="10" fillId="5" borderId="7" xfId="1" applyFont="1" applyFill="1" applyBorder="1" applyAlignment="1">
      <alignment horizontal="left" vertical="center" wrapText="1" indent="1"/>
    </xf>
    <xf numFmtId="0" fontId="10" fillId="5" borderId="7" xfId="7" applyFont="1" applyFill="1" applyBorder="1" applyAlignment="1">
      <alignment horizontal="left" vertical="center" wrapText="1" indent="1"/>
    </xf>
    <xf numFmtId="0" fontId="10" fillId="6" borderId="6" xfId="1" applyFont="1" applyFill="1" applyBorder="1" applyAlignment="1">
      <alignment horizontal="left" vertical="top" wrapText="1" indent="1"/>
    </xf>
    <xf numFmtId="0" fontId="10" fillId="6" borderId="6" xfId="7" applyFont="1" applyFill="1" applyBorder="1" applyAlignment="1">
      <alignment horizontal="left" vertical="top" wrapText="1" indent="1"/>
    </xf>
    <xf numFmtId="0" fontId="10" fillId="6" borderId="6" xfId="1" applyFont="1" applyFill="1" applyBorder="1" applyAlignment="1">
      <alignment horizontal="left" vertical="center" wrapText="1" indent="1"/>
    </xf>
    <xf numFmtId="0" fontId="10" fillId="6" borderId="6" xfId="7" applyFont="1" applyFill="1" applyBorder="1" applyAlignment="1">
      <alignment horizontal="left" vertical="center" wrapText="1" indent="1"/>
    </xf>
    <xf numFmtId="0" fontId="3" fillId="5" borderId="1" xfId="1" applyFill="1" applyBorder="1">
      <alignment vertical="center"/>
    </xf>
    <xf numFmtId="0" fontId="3" fillId="5" borderId="0" xfId="1" applyFill="1">
      <alignment vertical="center"/>
    </xf>
    <xf numFmtId="0" fontId="0" fillId="5" borderId="0" xfId="0" applyFill="1"/>
    <xf numFmtId="0" fontId="15" fillId="5" borderId="1" xfId="1" applyFont="1" applyFill="1" applyBorder="1">
      <alignment vertical="center"/>
    </xf>
    <xf numFmtId="0" fontId="17" fillId="5" borderId="0" xfId="9" applyFill="1" applyAlignment="1">
      <alignment vertical="center"/>
    </xf>
    <xf numFmtId="0" fontId="3" fillId="5" borderId="0" xfId="1" applyFill="1" applyAlignment="1">
      <alignment horizontal="left"/>
    </xf>
    <xf numFmtId="0" fontId="5" fillId="5" borderId="0" xfId="2" applyFill="1" applyBorder="1">
      <alignment vertical="center"/>
    </xf>
    <xf numFmtId="0" fontId="2" fillId="5" borderId="0" xfId="0" applyFont="1" applyFill="1"/>
    <xf numFmtId="0" fontId="22" fillId="5" borderId="0" xfId="0" applyFont="1" applyFill="1"/>
    <xf numFmtId="0" fontId="21" fillId="5" borderId="0" xfId="1" applyFont="1" applyFill="1">
      <alignment vertical="center"/>
    </xf>
    <xf numFmtId="0" fontId="21" fillId="4" borderId="0" xfId="1" applyFont="1">
      <alignment vertical="center"/>
    </xf>
    <xf numFmtId="0" fontId="21" fillId="0" borderId="0" xfId="0" applyFont="1"/>
    <xf numFmtId="165" fontId="21" fillId="5" borderId="7" xfId="1" applyNumberFormat="1" applyFont="1" applyFill="1" applyBorder="1" applyAlignment="1">
      <alignment horizontal="left" wrapText="1" indent="1"/>
    </xf>
    <xf numFmtId="165" fontId="21" fillId="6" borderId="6" xfId="1" applyNumberFormat="1" applyFont="1" applyFill="1" applyBorder="1" applyAlignment="1">
      <alignment horizontal="left" wrapText="1" indent="1"/>
    </xf>
    <xf numFmtId="166" fontId="5" fillId="5" borderId="0" xfId="2" applyNumberFormat="1" applyFill="1" applyBorder="1" applyAlignment="1">
      <alignment horizontal="left" vertical="center"/>
    </xf>
    <xf numFmtId="0" fontId="5" fillId="5" borderId="0" xfId="2" applyFill="1" applyBorder="1" applyAlignment="1">
      <alignment horizontal="left" vertical="center"/>
    </xf>
    <xf numFmtId="166" fontId="5" fillId="5" borderId="0" xfId="2" applyNumberFormat="1" applyFill="1" applyBorder="1">
      <alignment vertical="center"/>
    </xf>
    <xf numFmtId="0" fontId="3" fillId="5" borderId="0" xfId="1" applyFill="1" applyProtection="1">
      <alignment vertical="center"/>
      <protection hidden="1"/>
    </xf>
    <xf numFmtId="0" fontId="3" fillId="4" borderId="0" xfId="1" applyProtection="1">
      <alignment vertical="center"/>
      <protection hidden="1"/>
    </xf>
    <xf numFmtId="0" fontId="0" fillId="0" borderId="0" xfId="0" applyProtection="1">
      <protection hidden="1"/>
    </xf>
    <xf numFmtId="166" fontId="5" fillId="5" borderId="0" xfId="2" applyNumberFormat="1" applyFill="1" applyBorder="1" applyAlignment="1" applyProtection="1">
      <alignment horizontal="left" vertical="center"/>
      <protection hidden="1"/>
    </xf>
    <xf numFmtId="0" fontId="21" fillId="5" borderId="0" xfId="1" applyFont="1" applyFill="1" applyProtection="1">
      <alignment vertical="center"/>
      <protection hidden="1"/>
    </xf>
    <xf numFmtId="165" fontId="21" fillId="6" borderId="5" xfId="1" applyNumberFormat="1" applyFont="1" applyFill="1" applyBorder="1" applyAlignment="1" applyProtection="1">
      <alignment horizontal="left" wrapText="1" indent="1"/>
      <protection hidden="1"/>
    </xf>
    <xf numFmtId="165" fontId="21" fillId="6" borderId="6" xfId="1" applyNumberFormat="1" applyFont="1" applyFill="1" applyBorder="1" applyAlignment="1" applyProtection="1">
      <alignment horizontal="left" wrapText="1" indent="1"/>
      <protection hidden="1"/>
    </xf>
    <xf numFmtId="0" fontId="21" fillId="4" borderId="0" xfId="1" applyFont="1" applyProtection="1">
      <alignment vertical="center"/>
      <protection hidden="1"/>
    </xf>
    <xf numFmtId="0" fontId="21" fillId="0" borderId="0" xfId="0" applyFont="1" applyProtection="1">
      <protection hidden="1"/>
    </xf>
    <xf numFmtId="0" fontId="10" fillId="6" borderId="6" xfId="1" applyFont="1" applyFill="1" applyBorder="1" applyAlignment="1" applyProtection="1">
      <alignment horizontal="left" vertical="top" wrapText="1" indent="1"/>
      <protection hidden="1"/>
    </xf>
    <xf numFmtId="0" fontId="10" fillId="6" borderId="6" xfId="7" applyFont="1" applyFill="1" applyBorder="1" applyAlignment="1" applyProtection="1">
      <alignment horizontal="left" vertical="top" wrapText="1" indent="1"/>
      <protection hidden="1"/>
    </xf>
    <xf numFmtId="0" fontId="10" fillId="5" borderId="7" xfId="1" applyFont="1" applyFill="1" applyBorder="1" applyAlignment="1" applyProtection="1">
      <alignment horizontal="left" vertical="center" wrapText="1" indent="1"/>
      <protection hidden="1"/>
    </xf>
    <xf numFmtId="0" fontId="10" fillId="5" borderId="7" xfId="7" applyFont="1" applyFill="1" applyBorder="1" applyAlignment="1" applyProtection="1">
      <alignment horizontal="left" vertical="center" wrapText="1" indent="1"/>
      <protection hidden="1"/>
    </xf>
    <xf numFmtId="0" fontId="10" fillId="6" borderId="6" xfId="1" applyFont="1" applyFill="1" applyBorder="1" applyAlignment="1" applyProtection="1">
      <alignment horizontal="left" vertical="center" wrapText="1" indent="1"/>
      <protection hidden="1"/>
    </xf>
    <xf numFmtId="0" fontId="10" fillId="6" borderId="6" xfId="7" applyFont="1" applyFill="1" applyBorder="1" applyAlignment="1" applyProtection="1">
      <alignment horizontal="left" vertical="center" wrapText="1" indent="1"/>
      <protection hidden="1"/>
    </xf>
    <xf numFmtId="14" fontId="18" fillId="5" borderId="0" xfId="1" applyNumberFormat="1" applyFont="1" applyFill="1" applyAlignment="1">
      <alignment horizontal="center"/>
    </xf>
    <xf numFmtId="0" fontId="18" fillId="5" borderId="0" xfId="1" applyFont="1" applyFill="1" applyAlignment="1">
      <alignment horizontal="left"/>
    </xf>
    <xf numFmtId="16" fontId="0" fillId="0" borderId="0" xfId="0" applyNumberFormat="1"/>
    <xf numFmtId="0" fontId="19" fillId="5" borderId="0" xfId="1" applyFont="1" applyFill="1" applyAlignment="1">
      <alignment horizontal="center" vertical="center"/>
    </xf>
    <xf numFmtId="14" fontId="18" fillId="5" borderId="9" xfId="1" applyNumberFormat="1" applyFont="1" applyFill="1" applyBorder="1" applyAlignment="1">
      <alignment horizontal="center"/>
    </xf>
    <xf numFmtId="0" fontId="18" fillId="5" borderId="9" xfId="1" applyFont="1" applyFill="1" applyBorder="1" applyAlignment="1">
      <alignment horizontal="left"/>
    </xf>
    <xf numFmtId="16" fontId="18" fillId="5" borderId="9" xfId="1" applyNumberFormat="1" applyFont="1" applyFill="1" applyBorder="1" applyAlignment="1">
      <alignment horizontal="left"/>
    </xf>
    <xf numFmtId="1" fontId="18" fillId="5" borderId="9" xfId="1" applyNumberFormat="1" applyFont="1" applyFill="1" applyBorder="1" applyAlignment="1">
      <alignment horizontal="left"/>
    </xf>
    <xf numFmtId="14" fontId="18" fillId="5" borderId="9" xfId="1" applyNumberFormat="1" applyFont="1" applyFill="1" applyBorder="1" applyAlignment="1">
      <alignment horizontal="left"/>
    </xf>
    <xf numFmtId="1" fontId="18" fillId="5" borderId="0" xfId="1" applyNumberFormat="1" applyFont="1" applyFill="1" applyAlignment="1">
      <alignment horizontal="left"/>
    </xf>
    <xf numFmtId="14" fontId="18" fillId="5" borderId="0" xfId="1" applyNumberFormat="1" applyFont="1" applyFill="1" applyAlignment="1">
      <alignment horizontal="left"/>
    </xf>
    <xf numFmtId="16" fontId="18" fillId="5" borderId="0" xfId="1" applyNumberFormat="1" applyFont="1" applyFill="1" applyAlignment="1">
      <alignment horizontal="left"/>
    </xf>
    <xf numFmtId="0" fontId="4" fillId="5" borderId="0" xfId="4" applyFill="1" applyBorder="1"/>
    <xf numFmtId="0" fontId="13" fillId="5" borderId="0" xfId="2" applyFont="1" applyFill="1" applyBorder="1">
      <alignment vertical="center"/>
    </xf>
    <xf numFmtId="0" fontId="25" fillId="5" borderId="1" xfId="1" applyFont="1" applyFill="1" applyBorder="1">
      <alignment vertical="center"/>
    </xf>
    <xf numFmtId="0" fontId="23" fillId="9" borderId="0" xfId="0" applyFont="1" applyFill="1" applyAlignment="1">
      <alignment horizontal="center" vertical="center"/>
    </xf>
    <xf numFmtId="0" fontId="28" fillId="10" borderId="3" xfId="2" applyFont="1" applyFill="1" applyBorder="1">
      <alignment vertical="center"/>
    </xf>
    <xf numFmtId="165" fontId="21" fillId="5" borderId="11" xfId="1" applyNumberFormat="1" applyFont="1" applyFill="1" applyBorder="1" applyAlignment="1" applyProtection="1">
      <alignment horizontal="left" wrapText="1" indent="1"/>
      <protection hidden="1"/>
    </xf>
    <xf numFmtId="165" fontId="21" fillId="6" borderId="13" xfId="1" applyNumberFormat="1" applyFont="1" applyFill="1" applyBorder="1" applyAlignment="1" applyProtection="1">
      <alignment horizontal="left" wrapText="1" indent="1"/>
      <protection hidden="1"/>
    </xf>
    <xf numFmtId="165" fontId="21" fillId="6" borderId="13" xfId="1" applyNumberFormat="1" applyFont="1" applyFill="1" applyBorder="1" applyAlignment="1">
      <alignment horizontal="left" wrapText="1" indent="1"/>
    </xf>
    <xf numFmtId="165" fontId="21" fillId="5" borderId="11" xfId="1" applyNumberFormat="1" applyFont="1" applyFill="1" applyBorder="1" applyAlignment="1">
      <alignment horizontal="left" wrapText="1" indent="1"/>
    </xf>
    <xf numFmtId="165" fontId="21" fillId="6" borderId="14" xfId="1" applyNumberFormat="1" applyFont="1" applyFill="1" applyBorder="1" applyAlignment="1">
      <alignment horizontal="left" wrapText="1" indent="1"/>
    </xf>
    <xf numFmtId="0" fontId="3" fillId="4" borderId="15" xfId="1" applyBorder="1">
      <alignment vertical="center"/>
    </xf>
    <xf numFmtId="0" fontId="21" fillId="4" borderId="15" xfId="1" applyFont="1" applyBorder="1">
      <alignment vertical="center"/>
    </xf>
    <xf numFmtId="165" fontId="26" fillId="5" borderId="11" xfId="1" applyNumberFormat="1" applyFont="1" applyFill="1" applyBorder="1" applyAlignment="1">
      <alignment horizontal="left" wrapText="1" indent="1"/>
    </xf>
    <xf numFmtId="165" fontId="26" fillId="5" borderId="18" xfId="1" applyNumberFormat="1" applyFont="1" applyFill="1" applyBorder="1" applyAlignment="1">
      <alignment horizontal="left" wrapText="1" indent="1"/>
    </xf>
    <xf numFmtId="165" fontId="21" fillId="6" borderId="19" xfId="1" applyNumberFormat="1" applyFont="1" applyFill="1" applyBorder="1" applyAlignment="1">
      <alignment horizontal="left" wrapText="1" indent="1"/>
    </xf>
    <xf numFmtId="165" fontId="26" fillId="6" borderId="20" xfId="1" applyNumberFormat="1" applyFont="1" applyFill="1" applyBorder="1" applyAlignment="1">
      <alignment horizontal="left" wrapText="1" indent="1"/>
    </xf>
    <xf numFmtId="0" fontId="10" fillId="6" borderId="21" xfId="7" applyFont="1" applyFill="1" applyBorder="1" applyAlignment="1">
      <alignment horizontal="left" vertical="top" wrapText="1" indent="1"/>
    </xf>
    <xf numFmtId="0" fontId="10" fillId="5" borderId="16" xfId="7" applyFont="1" applyFill="1" applyBorder="1" applyAlignment="1">
      <alignment horizontal="left" vertical="center" wrapText="1" indent="1"/>
    </xf>
    <xf numFmtId="165" fontId="26" fillId="6" borderId="22" xfId="1" applyNumberFormat="1" applyFont="1" applyFill="1" applyBorder="1" applyAlignment="1">
      <alignment horizontal="left" wrapText="1" indent="1"/>
    </xf>
    <xf numFmtId="0" fontId="10" fillId="6" borderId="21" xfId="7" applyFont="1" applyFill="1" applyBorder="1" applyAlignment="1">
      <alignment horizontal="left" vertical="center" wrapText="1" indent="1"/>
    </xf>
    <xf numFmtId="165" fontId="21" fillId="6" borderId="25" xfId="1" applyNumberFormat="1" applyFont="1" applyFill="1" applyBorder="1" applyAlignment="1">
      <alignment horizontal="left" wrapText="1" indent="1"/>
    </xf>
    <xf numFmtId="0" fontId="10" fillId="6" borderId="26" xfId="1" applyFont="1" applyFill="1" applyBorder="1" applyAlignment="1">
      <alignment horizontal="left" vertical="top" wrapText="1" indent="1"/>
    </xf>
    <xf numFmtId="165" fontId="21" fillId="5" borderId="27" xfId="1" applyNumberFormat="1" applyFont="1" applyFill="1" applyBorder="1" applyAlignment="1">
      <alignment horizontal="left" wrapText="1" indent="1"/>
    </xf>
    <xf numFmtId="0" fontId="10" fillId="5" borderId="28" xfId="1" applyFont="1" applyFill="1" applyBorder="1" applyAlignment="1">
      <alignment horizontal="left" vertical="center" wrapText="1" indent="1"/>
    </xf>
    <xf numFmtId="165" fontId="21" fillId="6" borderId="29" xfId="1" applyNumberFormat="1" applyFont="1" applyFill="1" applyBorder="1" applyAlignment="1">
      <alignment horizontal="left" wrapText="1" indent="1"/>
    </xf>
    <xf numFmtId="0" fontId="10" fillId="6" borderId="26" xfId="1" applyFont="1" applyFill="1" applyBorder="1" applyAlignment="1">
      <alignment horizontal="left" vertical="center" wrapText="1" indent="1"/>
    </xf>
    <xf numFmtId="165" fontId="21" fillId="5" borderId="28" xfId="1" applyNumberFormat="1" applyFont="1" applyFill="1" applyBorder="1" applyAlignment="1">
      <alignment horizontal="left" wrapText="1" indent="1"/>
    </xf>
    <xf numFmtId="0" fontId="3" fillId="5" borderId="24" xfId="1" applyFill="1" applyBorder="1" applyProtection="1">
      <alignment vertical="center"/>
      <protection hidden="1"/>
    </xf>
    <xf numFmtId="0" fontId="10" fillId="6" borderId="26" xfId="1" applyFont="1" applyFill="1" applyBorder="1" applyAlignment="1" applyProtection="1">
      <alignment horizontal="left" vertical="top" wrapText="1" indent="1"/>
      <protection hidden="1"/>
    </xf>
    <xf numFmtId="165" fontId="21" fillId="5" borderId="27" xfId="1" applyNumberFormat="1" applyFont="1" applyFill="1" applyBorder="1" applyAlignment="1" applyProtection="1">
      <alignment horizontal="left" wrapText="1" indent="1"/>
      <protection hidden="1"/>
    </xf>
    <xf numFmtId="0" fontId="10" fillId="5" borderId="28" xfId="1" applyFont="1" applyFill="1" applyBorder="1" applyAlignment="1" applyProtection="1">
      <alignment horizontal="left" vertical="center" wrapText="1" indent="1"/>
      <protection hidden="1"/>
    </xf>
    <xf numFmtId="165" fontId="26" fillId="6" borderId="29" xfId="1" applyNumberFormat="1" applyFont="1" applyFill="1" applyBorder="1" applyAlignment="1" applyProtection="1">
      <alignment horizontal="left" wrapText="1" indent="1"/>
      <protection hidden="1"/>
    </xf>
    <xf numFmtId="0" fontId="10" fillId="6" borderId="26" xfId="1" applyFont="1" applyFill="1" applyBorder="1" applyAlignment="1" applyProtection="1">
      <alignment horizontal="left" vertical="center" wrapText="1" indent="1"/>
      <protection hidden="1"/>
    </xf>
    <xf numFmtId="165" fontId="21" fillId="6" borderId="29" xfId="1" applyNumberFormat="1" applyFont="1" applyFill="1" applyBorder="1" applyAlignment="1" applyProtection="1">
      <alignment horizontal="left" wrapText="1" indent="1"/>
      <protection hidden="1"/>
    </xf>
    <xf numFmtId="0" fontId="3" fillId="5" borderId="15" xfId="1" applyFill="1" applyBorder="1" applyProtection="1">
      <alignment vertical="center"/>
      <protection hidden="1"/>
    </xf>
    <xf numFmtId="0" fontId="5" fillId="5" borderId="15" xfId="2" applyFill="1" applyBorder="1" applyAlignment="1" applyProtection="1">
      <alignment horizontal="left" vertical="center"/>
      <protection hidden="1"/>
    </xf>
    <xf numFmtId="165" fontId="26" fillId="6" borderId="20" xfId="1" applyNumberFormat="1" applyFont="1" applyFill="1" applyBorder="1" applyAlignment="1" applyProtection="1">
      <alignment horizontal="left" wrapText="1" indent="1"/>
      <protection hidden="1"/>
    </xf>
    <xf numFmtId="0" fontId="10" fillId="6" borderId="21" xfId="7" applyFont="1" applyFill="1" applyBorder="1" applyAlignment="1" applyProtection="1">
      <alignment horizontal="left" vertical="top" wrapText="1" indent="1"/>
      <protection hidden="1"/>
    </xf>
    <xf numFmtId="165" fontId="26" fillId="5" borderId="18" xfId="1" applyNumberFormat="1" applyFont="1" applyFill="1" applyBorder="1" applyAlignment="1" applyProtection="1">
      <alignment horizontal="left" wrapText="1" indent="1"/>
      <protection hidden="1"/>
    </xf>
    <xf numFmtId="0" fontId="10" fillId="5" borderId="16" xfId="7" applyFont="1" applyFill="1" applyBorder="1" applyAlignment="1" applyProtection="1">
      <alignment horizontal="left" vertical="center" wrapText="1" indent="1"/>
      <protection hidden="1"/>
    </xf>
    <xf numFmtId="165" fontId="26" fillId="6" borderId="22" xfId="1" applyNumberFormat="1" applyFont="1" applyFill="1" applyBorder="1" applyAlignment="1" applyProtection="1">
      <alignment horizontal="left" wrapText="1" indent="1"/>
      <protection hidden="1"/>
    </xf>
    <xf numFmtId="0" fontId="10" fillId="6" borderId="21" xfId="7" applyFont="1" applyFill="1" applyBorder="1" applyAlignment="1" applyProtection="1">
      <alignment horizontal="left" vertical="center" wrapText="1" indent="1"/>
      <protection hidden="1"/>
    </xf>
    <xf numFmtId="165" fontId="21" fillId="6" borderId="26" xfId="1" applyNumberFormat="1" applyFont="1" applyFill="1" applyBorder="1" applyAlignment="1">
      <alignment horizontal="left" wrapText="1" indent="1"/>
    </xf>
    <xf numFmtId="0" fontId="3" fillId="5" borderId="15" xfId="1" applyFill="1" applyBorder="1">
      <alignment vertical="center"/>
    </xf>
    <xf numFmtId="0" fontId="5" fillId="5" borderId="15" xfId="2" applyFill="1" applyBorder="1" applyAlignment="1">
      <alignment horizontal="left" vertical="center"/>
    </xf>
    <xf numFmtId="165" fontId="21" fillId="6" borderId="21" xfId="1" applyNumberFormat="1" applyFont="1" applyFill="1" applyBorder="1" applyAlignment="1">
      <alignment horizontal="left" wrapText="1" indent="1"/>
    </xf>
    <xf numFmtId="165" fontId="26" fillId="5" borderId="27" xfId="1" applyNumberFormat="1" applyFont="1" applyFill="1" applyBorder="1" applyAlignment="1">
      <alignment horizontal="left" wrapText="1" indent="1"/>
    </xf>
    <xf numFmtId="0" fontId="10" fillId="6" borderId="30" xfId="1" applyFont="1" applyFill="1" applyBorder="1" applyAlignment="1">
      <alignment horizontal="left" vertical="center" wrapText="1" indent="1"/>
    </xf>
    <xf numFmtId="0" fontId="10" fillId="6" borderId="31" xfId="1" applyFont="1" applyFill="1" applyBorder="1" applyAlignment="1">
      <alignment horizontal="left" vertical="center" wrapText="1" indent="1"/>
    </xf>
    <xf numFmtId="0" fontId="10" fillId="6" borderId="31" xfId="7" applyFont="1" applyFill="1" applyBorder="1" applyAlignment="1">
      <alignment horizontal="left" vertical="center" wrapText="1" indent="1"/>
    </xf>
    <xf numFmtId="0" fontId="10" fillId="6" borderId="32" xfId="7" applyFont="1" applyFill="1" applyBorder="1" applyAlignment="1">
      <alignment horizontal="left" vertical="center" wrapText="1" indent="1"/>
    </xf>
    <xf numFmtId="165" fontId="26" fillId="6" borderId="33" xfId="1" applyNumberFormat="1" applyFont="1" applyFill="1" applyBorder="1" applyAlignment="1">
      <alignment horizontal="left" wrapText="1" indent="1"/>
    </xf>
    <xf numFmtId="0" fontId="3" fillId="5" borderId="34" xfId="1" applyFill="1" applyBorder="1">
      <alignment vertical="center"/>
    </xf>
    <xf numFmtId="0" fontId="3" fillId="5" borderId="35" xfId="1" applyFill="1" applyBorder="1">
      <alignment vertical="center"/>
    </xf>
    <xf numFmtId="165" fontId="21" fillId="5" borderId="18" xfId="1" applyNumberFormat="1" applyFont="1" applyFill="1" applyBorder="1" applyAlignment="1">
      <alignment horizontal="left" wrapText="1" indent="1"/>
    </xf>
    <xf numFmtId="165" fontId="26" fillId="6" borderId="29" xfId="1" applyNumberFormat="1" applyFont="1" applyFill="1" applyBorder="1" applyAlignment="1">
      <alignment horizontal="left" wrapText="1" indent="1"/>
    </xf>
    <xf numFmtId="165" fontId="21" fillId="6" borderId="22" xfId="1" applyNumberFormat="1" applyFont="1" applyFill="1" applyBorder="1" applyAlignment="1">
      <alignment horizontal="left" wrapText="1" indent="1"/>
    </xf>
    <xf numFmtId="0" fontId="5" fillId="5" borderId="15" xfId="2" applyFill="1" applyBorder="1">
      <alignment vertical="center"/>
    </xf>
    <xf numFmtId="0" fontId="3" fillId="5" borderId="34" xfId="1" applyFill="1" applyBorder="1" applyProtection="1">
      <alignment vertical="center"/>
      <protection hidden="1"/>
    </xf>
    <xf numFmtId="0" fontId="3" fillId="5" borderId="35" xfId="1" applyFill="1" applyBorder="1" applyProtection="1">
      <alignment vertical="center"/>
      <protection hidden="1"/>
    </xf>
    <xf numFmtId="165" fontId="21" fillId="6" borderId="36" xfId="1" applyNumberFormat="1" applyFont="1" applyFill="1" applyBorder="1" applyAlignment="1" applyProtection="1">
      <alignment horizontal="left" wrapText="1" indent="1"/>
      <protection hidden="1"/>
    </xf>
    <xf numFmtId="0" fontId="16" fillId="9" borderId="37" xfId="6" applyFont="1" applyFill="1" applyBorder="1" applyAlignment="1" applyProtection="1">
      <alignment horizontal="center" vertical="center"/>
      <protection hidden="1"/>
    </xf>
    <xf numFmtId="0" fontId="16" fillId="9" borderId="38" xfId="6" applyFont="1" applyFill="1" applyBorder="1" applyAlignment="1" applyProtection="1">
      <alignment horizontal="center" vertical="center"/>
      <protection hidden="1"/>
    </xf>
    <xf numFmtId="0" fontId="16" fillId="9" borderId="40" xfId="6" applyFont="1" applyFill="1" applyBorder="1" applyAlignment="1" applyProtection="1">
      <alignment horizontal="center" vertical="center"/>
      <protection hidden="1"/>
    </xf>
    <xf numFmtId="0" fontId="16" fillId="11" borderId="38" xfId="6" applyFont="1" applyFill="1" applyBorder="1" applyAlignment="1" applyProtection="1">
      <alignment horizontal="center" vertical="center"/>
      <protection hidden="1"/>
    </xf>
    <xf numFmtId="0" fontId="16" fillId="11" borderId="39" xfId="6" applyFont="1" applyFill="1" applyBorder="1" applyAlignment="1" applyProtection="1">
      <alignment horizontal="center" vertical="center"/>
      <protection hidden="1"/>
    </xf>
    <xf numFmtId="0" fontId="3" fillId="5" borderId="42" xfId="1" applyFill="1" applyBorder="1">
      <alignment vertical="center"/>
    </xf>
    <xf numFmtId="0" fontId="3" fillId="5" borderId="41" xfId="1" applyFill="1" applyBorder="1">
      <alignment vertical="center"/>
    </xf>
    <xf numFmtId="0" fontId="15" fillId="5" borderId="0" xfId="1" applyFont="1" applyFill="1">
      <alignment vertical="center"/>
    </xf>
    <xf numFmtId="0" fontId="6" fillId="5" borderId="0" xfId="1" applyFont="1" applyFill="1" applyAlignment="1"/>
    <xf numFmtId="0" fontId="17" fillId="5" borderId="0" xfId="9" applyFill="1" applyBorder="1" applyAlignment="1">
      <alignment vertical="center"/>
    </xf>
    <xf numFmtId="165" fontId="24" fillId="8" borderId="0" xfId="1" applyNumberFormat="1" applyFont="1" applyFill="1" applyAlignment="1">
      <alignment horizontal="center" vertical="center"/>
    </xf>
    <xf numFmtId="165" fontId="24" fillId="7" borderId="0" xfId="1" applyNumberFormat="1" applyFont="1" applyFill="1" applyAlignment="1">
      <alignment horizontal="center" vertical="center"/>
    </xf>
    <xf numFmtId="0" fontId="18" fillId="5" borderId="0" xfId="1" applyFont="1" applyFill="1">
      <alignment vertical="center"/>
    </xf>
    <xf numFmtId="0" fontId="3" fillId="5" borderId="0" xfId="1" applyFill="1" applyAlignment="1">
      <alignment horizontal="left" vertical="center"/>
    </xf>
    <xf numFmtId="165" fontId="21" fillId="5" borderId="0" xfId="1" applyNumberFormat="1" applyFont="1" applyFill="1" applyAlignment="1">
      <alignment horizontal="center"/>
    </xf>
    <xf numFmtId="165" fontId="26" fillId="5" borderId="0" xfId="1" applyNumberFormat="1" applyFont="1" applyFill="1" applyAlignment="1">
      <alignment horizontal="center"/>
    </xf>
    <xf numFmtId="0" fontId="21" fillId="5" borderId="0" xfId="1" applyFont="1" applyFill="1" applyAlignment="1"/>
    <xf numFmtId="0" fontId="18" fillId="5" borderId="0" xfId="1" applyFont="1" applyFill="1" applyAlignment="1"/>
    <xf numFmtId="165" fontId="21" fillId="5" borderId="0" xfId="1" applyNumberFormat="1" applyFont="1" applyFill="1" applyAlignment="1">
      <alignment horizontal="center" vertical="center"/>
    </xf>
    <xf numFmtId="165" fontId="26" fillId="5" borderId="0" xfId="1" applyNumberFormat="1" applyFont="1" applyFill="1" applyAlignment="1">
      <alignment horizontal="center" vertical="center"/>
    </xf>
    <xf numFmtId="0" fontId="3" fillId="5" borderId="43" xfId="1" applyFill="1" applyBorder="1">
      <alignment vertical="center"/>
    </xf>
    <xf numFmtId="0" fontId="15" fillId="5" borderId="44" xfId="1" applyFont="1" applyFill="1" applyBorder="1">
      <alignment vertical="center"/>
    </xf>
    <xf numFmtId="0" fontId="15" fillId="5" borderId="45" xfId="1" applyFont="1" applyFill="1" applyBorder="1">
      <alignment vertical="center"/>
    </xf>
    <xf numFmtId="0" fontId="20" fillId="5" borderId="45" xfId="1" applyFont="1" applyFill="1" applyBorder="1">
      <alignment vertical="center"/>
    </xf>
    <xf numFmtId="0" fontId="15" fillId="5" borderId="45" xfId="1" applyFont="1" applyFill="1" applyBorder="1" applyAlignment="1">
      <alignment horizontal="left" vertical="center"/>
    </xf>
    <xf numFmtId="0" fontId="20" fillId="5" borderId="45" xfId="1" applyFont="1" applyFill="1" applyBorder="1" applyAlignment="1"/>
    <xf numFmtId="0" fontId="15" fillId="5" borderId="46" xfId="1" applyFont="1" applyFill="1" applyBorder="1">
      <alignment vertical="center"/>
    </xf>
    <xf numFmtId="0" fontId="0" fillId="5" borderId="47" xfId="0" applyFill="1" applyBorder="1"/>
    <xf numFmtId="0" fontId="0" fillId="5" borderId="48" xfId="0" applyFill="1" applyBorder="1"/>
    <xf numFmtId="0" fontId="22" fillId="5" borderId="48" xfId="0" applyFont="1" applyFill="1" applyBorder="1"/>
    <xf numFmtId="0" fontId="2" fillId="5" borderId="48" xfId="0" applyFont="1" applyFill="1" applyBorder="1"/>
    <xf numFmtId="0" fontId="0" fillId="5" borderId="49" xfId="0" applyFill="1" applyBorder="1"/>
    <xf numFmtId="0" fontId="3" fillId="5" borderId="52" xfId="1" applyFill="1" applyBorder="1" applyProtection="1">
      <alignment vertical="center"/>
      <protection hidden="1"/>
    </xf>
    <xf numFmtId="0" fontId="3" fillId="5" borderId="53" xfId="1" applyFill="1" applyBorder="1" applyProtection="1">
      <alignment vertical="center"/>
      <protection hidden="1"/>
    </xf>
    <xf numFmtId="0" fontId="32" fillId="13" borderId="0" xfId="0" applyFont="1" applyFill="1" applyAlignment="1">
      <alignment vertical="center"/>
    </xf>
    <xf numFmtId="0" fontId="33" fillId="0" borderId="0" xfId="0" applyFont="1"/>
    <xf numFmtId="0" fontId="31" fillId="5" borderId="0" xfId="0" applyFont="1" applyFill="1"/>
    <xf numFmtId="0" fontId="31" fillId="0" borderId="0" xfId="0" applyFont="1"/>
    <xf numFmtId="0" fontId="0" fillId="16" borderId="65" xfId="0" applyFill="1" applyBorder="1" applyAlignment="1">
      <alignment horizontal="center"/>
    </xf>
    <xf numFmtId="167" fontId="0" fillId="16" borderId="65" xfId="0" applyNumberFormat="1" applyFill="1" applyBorder="1"/>
    <xf numFmtId="0" fontId="0" fillId="16" borderId="66" xfId="0" applyFill="1" applyBorder="1" applyAlignment="1">
      <alignment horizontal="center"/>
    </xf>
    <xf numFmtId="167" fontId="0" fillId="16" borderId="66" xfId="0" applyNumberFormat="1" applyFill="1" applyBorder="1"/>
    <xf numFmtId="0" fontId="0" fillId="16" borderId="60" xfId="0" applyFill="1" applyBorder="1" applyAlignment="1">
      <alignment horizontal="center"/>
    </xf>
    <xf numFmtId="167" fontId="0" fillId="16" borderId="64" xfId="0" applyNumberFormat="1" applyFill="1" applyBorder="1"/>
    <xf numFmtId="0" fontId="0" fillId="5" borderId="67" xfId="0" applyFill="1" applyBorder="1"/>
    <xf numFmtId="0" fontId="0" fillId="0" borderId="67" xfId="0" applyBorder="1"/>
    <xf numFmtId="0" fontId="17" fillId="0" borderId="62" xfId="9" applyBorder="1"/>
    <xf numFmtId="0" fontId="17" fillId="0" borderId="63" xfId="9" applyBorder="1"/>
    <xf numFmtId="0" fontId="17" fillId="0" borderId="64" xfId="9" applyBorder="1"/>
    <xf numFmtId="0" fontId="17" fillId="0" borderId="0" xfId="9"/>
    <xf numFmtId="167" fontId="0" fillId="16" borderId="70" xfId="0" applyNumberFormat="1" applyFill="1" applyBorder="1"/>
    <xf numFmtId="0" fontId="0" fillId="16" borderId="72" xfId="0" applyFill="1" applyBorder="1" applyAlignment="1">
      <alignment horizontal="center"/>
    </xf>
    <xf numFmtId="0" fontId="0" fillId="16" borderId="73" xfId="0" applyFill="1" applyBorder="1" applyAlignment="1">
      <alignment horizontal="center"/>
    </xf>
    <xf numFmtId="167" fontId="0" fillId="16" borderId="74" xfId="0" applyNumberFormat="1" applyFill="1" applyBorder="1"/>
    <xf numFmtId="0" fontId="0" fillId="5" borderId="0" xfId="0" applyFill="1" applyAlignment="1">
      <alignment wrapText="1"/>
    </xf>
    <xf numFmtId="0" fontId="31" fillId="5" borderId="63" xfId="0" applyFont="1" applyFill="1" applyBorder="1"/>
    <xf numFmtId="0" fontId="0" fillId="5" borderId="63" xfId="0" applyFill="1" applyBorder="1"/>
    <xf numFmtId="0" fontId="0" fillId="16" borderId="75" xfId="0" applyFill="1" applyBorder="1" applyAlignment="1">
      <alignment horizontal="center"/>
    </xf>
    <xf numFmtId="0" fontId="0" fillId="16" borderId="74" xfId="0" applyFill="1" applyBorder="1" applyAlignment="1">
      <alignment horizontal="center"/>
    </xf>
    <xf numFmtId="0" fontId="1" fillId="14" borderId="59" xfId="0" applyFont="1" applyFill="1" applyBorder="1"/>
    <xf numFmtId="49" fontId="0" fillId="17" borderId="58" xfId="0" applyNumberFormat="1" applyFill="1" applyBorder="1" applyAlignment="1">
      <alignment vertical="center" textRotation="255"/>
    </xf>
    <xf numFmtId="0" fontId="0" fillId="16" borderId="76" xfId="0" applyFill="1" applyBorder="1" applyAlignment="1">
      <alignment horizontal="center"/>
    </xf>
    <xf numFmtId="0" fontId="31" fillId="5" borderId="56" xfId="0" applyFont="1" applyFill="1" applyBorder="1"/>
    <xf numFmtId="0" fontId="0" fillId="5" borderId="56" xfId="0" applyFill="1" applyBorder="1"/>
    <xf numFmtId="167" fontId="0" fillId="16" borderId="76" xfId="0" applyNumberFormat="1" applyFill="1" applyBorder="1"/>
    <xf numFmtId="167" fontId="0" fillId="16" borderId="65" xfId="0" applyNumberFormat="1" applyFill="1" applyBorder="1" applyAlignment="1">
      <alignment horizontal="right"/>
    </xf>
    <xf numFmtId="49" fontId="0" fillId="16" borderId="65" xfId="0" applyNumberFormat="1" applyFill="1" applyBorder="1" applyAlignment="1">
      <alignment horizontal="center"/>
    </xf>
    <xf numFmtId="49" fontId="0" fillId="16" borderId="66" xfId="0" applyNumberFormat="1" applyFill="1" applyBorder="1" applyAlignment="1">
      <alignment horizontal="center"/>
    </xf>
    <xf numFmtId="49" fontId="0" fillId="16" borderId="74" xfId="0" applyNumberFormat="1" applyFill="1" applyBorder="1" applyAlignment="1">
      <alignment horizontal="center"/>
    </xf>
    <xf numFmtId="0" fontId="1" fillId="17" borderId="0" xfId="0" applyFont="1" applyFill="1" applyAlignment="1">
      <alignment vertical="center" wrapText="1"/>
    </xf>
    <xf numFmtId="0" fontId="0" fillId="17" borderId="0" xfId="0" applyFill="1"/>
    <xf numFmtId="0" fontId="32" fillId="17" borderId="0" xfId="0" applyFont="1" applyFill="1"/>
    <xf numFmtId="0" fontId="22" fillId="17" borderId="0" xfId="0" applyFont="1" applyFill="1"/>
    <xf numFmtId="0" fontId="0" fillId="0" borderId="0" xfId="0" applyAlignment="1">
      <alignment horizontal="center"/>
    </xf>
    <xf numFmtId="0" fontId="32" fillId="5" borderId="0" xfId="0" applyFont="1" applyFill="1" applyAlignment="1">
      <alignment vertical="center"/>
    </xf>
    <xf numFmtId="0" fontId="24" fillId="12" borderId="0" xfId="0" applyFont="1" applyFill="1" applyAlignment="1">
      <alignment vertical="center"/>
    </xf>
    <xf numFmtId="0" fontId="38" fillId="5" borderId="57" xfId="0" applyFont="1" applyFill="1" applyBorder="1" applyAlignment="1">
      <alignment vertical="center" wrapText="1"/>
    </xf>
    <xf numFmtId="0" fontId="38" fillId="5" borderId="0" xfId="0" applyFont="1" applyFill="1" applyAlignment="1">
      <alignment vertical="center" wrapText="1"/>
    </xf>
    <xf numFmtId="0" fontId="24" fillId="5" borderId="0" xfId="0" applyFont="1" applyFill="1" applyAlignment="1">
      <alignment vertical="center"/>
    </xf>
    <xf numFmtId="0" fontId="0" fillId="12" borderId="0" xfId="0" applyFill="1"/>
    <xf numFmtId="0" fontId="0" fillId="13" borderId="0" xfId="0" applyFill="1"/>
    <xf numFmtId="0" fontId="0" fillId="16" borderId="70" xfId="0" applyFill="1" applyBorder="1" applyAlignment="1">
      <alignment horizontal="center"/>
    </xf>
    <xf numFmtId="0" fontId="0" fillId="5" borderId="12" xfId="0" applyFill="1" applyBorder="1"/>
    <xf numFmtId="0" fontId="0" fillId="0" borderId="12" xfId="0" applyBorder="1"/>
    <xf numFmtId="0" fontId="0" fillId="16" borderId="79" xfId="0" applyFill="1" applyBorder="1" applyAlignment="1">
      <alignment horizontal="center"/>
    </xf>
    <xf numFmtId="0" fontId="0" fillId="16" borderId="80" xfId="0" applyFill="1" applyBorder="1" applyAlignment="1">
      <alignment horizontal="center"/>
    </xf>
    <xf numFmtId="0" fontId="0" fillId="16" borderId="78" xfId="0" applyFill="1" applyBorder="1" applyAlignment="1">
      <alignment horizontal="center"/>
    </xf>
    <xf numFmtId="0" fontId="0" fillId="0" borderId="63" xfId="0" applyBorder="1"/>
    <xf numFmtId="0" fontId="0" fillId="0" borderId="0" xfId="0" applyAlignment="1">
      <alignment vertical="center"/>
    </xf>
    <xf numFmtId="0" fontId="41" fillId="0" borderId="0" xfId="0" applyFont="1" applyAlignment="1">
      <alignment horizontal="center"/>
    </xf>
    <xf numFmtId="0" fontId="41" fillId="0" borderId="0" xfId="0" applyFont="1"/>
    <xf numFmtId="0" fontId="17" fillId="0" borderId="0" xfId="9" applyAlignment="1">
      <alignment vertical="center"/>
    </xf>
    <xf numFmtId="0" fontId="42" fillId="20" borderId="77" xfId="0" applyFont="1" applyFill="1" applyBorder="1" applyAlignment="1">
      <alignment horizontal="center" vertical="center" wrapText="1"/>
    </xf>
    <xf numFmtId="0" fontId="42" fillId="20" borderId="77" xfId="0" applyFont="1" applyFill="1" applyBorder="1" applyAlignment="1">
      <alignment horizontal="center" vertical="center"/>
    </xf>
    <xf numFmtId="49" fontId="43" fillId="5" borderId="77" xfId="11" applyNumberFormat="1" applyFont="1" applyFill="1" applyBorder="1" applyAlignment="1">
      <alignment horizontal="left"/>
    </xf>
    <xf numFmtId="167" fontId="43" fillId="5" borderId="77" xfId="0" applyNumberFormat="1" applyFont="1" applyFill="1" applyBorder="1"/>
    <xf numFmtId="49" fontId="43" fillId="5" borderId="77" xfId="11" applyNumberFormat="1" applyFont="1" applyFill="1" applyBorder="1" applyAlignment="1">
      <alignment horizontal="left" wrapText="1"/>
    </xf>
    <xf numFmtId="167" fontId="43" fillId="5" borderId="77" xfId="0" applyNumberFormat="1" applyFont="1" applyFill="1" applyBorder="1" applyAlignment="1">
      <alignment horizontal="center" vertical="center" wrapText="1"/>
    </xf>
    <xf numFmtId="49" fontId="43" fillId="5" borderId="77" xfId="11" applyNumberFormat="1" applyFont="1" applyFill="1" applyBorder="1" applyAlignment="1">
      <alignment horizontal="left" vertical="top" wrapText="1"/>
    </xf>
    <xf numFmtId="167" fontId="43" fillId="5" borderId="77" xfId="0" applyNumberFormat="1" applyFont="1" applyFill="1" applyBorder="1" applyAlignment="1">
      <alignment vertical="center"/>
    </xf>
    <xf numFmtId="167" fontId="43" fillId="5" borderId="77" xfId="0" applyNumberFormat="1" applyFont="1" applyFill="1" applyBorder="1" applyAlignment="1">
      <alignment horizontal="center" vertical="center"/>
    </xf>
    <xf numFmtId="167" fontId="0" fillId="16" borderId="66" xfId="0" applyNumberFormat="1" applyFill="1" applyBorder="1" applyAlignment="1">
      <alignment horizontal="center"/>
    </xf>
    <xf numFmtId="167" fontId="0" fillId="16" borderId="65" xfId="0" applyNumberFormat="1" applyFill="1" applyBorder="1" applyAlignment="1">
      <alignment horizontal="center"/>
    </xf>
    <xf numFmtId="167" fontId="0" fillId="16" borderId="76" xfId="0" applyNumberFormat="1" applyFill="1" applyBorder="1" applyAlignment="1">
      <alignment horizontal="center"/>
    </xf>
    <xf numFmtId="0" fontId="24" fillId="12" borderId="0" xfId="0" applyFont="1" applyFill="1" applyAlignment="1">
      <alignment horizontal="left" vertical="center"/>
    </xf>
    <xf numFmtId="0" fontId="37" fillId="5" borderId="0" xfId="0" applyFont="1" applyFill="1"/>
    <xf numFmtId="0" fontId="37" fillId="9" borderId="82" xfId="0" applyFont="1" applyFill="1" applyBorder="1" applyAlignment="1">
      <alignment horizontal="left" vertical="center"/>
    </xf>
    <xf numFmtId="0" fontId="37" fillId="9" borderId="82" xfId="0" applyFont="1" applyFill="1" applyBorder="1" applyAlignment="1">
      <alignment horizontal="center" vertical="center"/>
    </xf>
    <xf numFmtId="0" fontId="37" fillId="9" borderId="83" xfId="0" applyFont="1" applyFill="1" applyBorder="1" applyAlignment="1">
      <alignment horizontal="right" vertical="center"/>
    </xf>
    <xf numFmtId="0" fontId="44" fillId="9" borderId="84" xfId="0" applyFont="1" applyFill="1" applyBorder="1" applyAlignment="1">
      <alignment horizontal="center" vertical="center"/>
    </xf>
    <xf numFmtId="0" fontId="44" fillId="9" borderId="0" xfId="0" applyFont="1" applyFill="1" applyAlignment="1">
      <alignment horizontal="left" vertical="center"/>
    </xf>
    <xf numFmtId="0" fontId="44" fillId="9" borderId="0" xfId="0" applyFont="1" applyFill="1" applyAlignment="1">
      <alignment horizontal="center" vertical="center"/>
    </xf>
    <xf numFmtId="0" fontId="44" fillId="22" borderId="0" xfId="0" applyFont="1" applyFill="1" applyAlignment="1">
      <alignment horizontal="center" vertical="center"/>
    </xf>
    <xf numFmtId="41" fontId="44" fillId="9" borderId="85" xfId="12" applyFont="1" applyFill="1" applyBorder="1" applyAlignment="1">
      <alignment horizontal="right" vertical="center"/>
    </xf>
    <xf numFmtId="0" fontId="44" fillId="5" borderId="0" xfId="0" applyFont="1" applyFill="1"/>
    <xf numFmtId="0" fontId="45" fillId="23" borderId="0" xfId="0" applyFont="1" applyFill="1" applyAlignment="1">
      <alignment horizontal="center" vertical="center"/>
    </xf>
    <xf numFmtId="168" fontId="45" fillId="5" borderId="85" xfId="12" applyNumberFormat="1" applyFont="1" applyFill="1" applyBorder="1" applyAlignment="1">
      <alignment horizontal="right" vertical="center"/>
    </xf>
    <xf numFmtId="0" fontId="45" fillId="9" borderId="86" xfId="0" applyFont="1" applyFill="1" applyBorder="1" applyAlignment="1">
      <alignment horizontal="center" vertical="center" wrapText="1"/>
    </xf>
    <xf numFmtId="0" fontId="45" fillId="9" borderId="87" xfId="0" applyFont="1" applyFill="1" applyBorder="1" applyAlignment="1">
      <alignment horizontal="center" vertical="center" wrapText="1"/>
    </xf>
    <xf numFmtId="0" fontId="45" fillId="9" borderId="88" xfId="0" applyFont="1" applyFill="1" applyBorder="1" applyAlignment="1">
      <alignment horizontal="center" vertical="center" wrapText="1"/>
    </xf>
    <xf numFmtId="0" fontId="37" fillId="24" borderId="87" xfId="0" applyFont="1" applyFill="1" applyBorder="1" applyAlignment="1">
      <alignment horizontal="left" vertical="top" wrapText="1"/>
    </xf>
    <xf numFmtId="0" fontId="37" fillId="24" borderId="87" xfId="0" applyFont="1" applyFill="1" applyBorder="1" applyAlignment="1">
      <alignment horizontal="center" vertical="center" wrapText="1"/>
    </xf>
    <xf numFmtId="168" fontId="37" fillId="24" borderId="87" xfId="11" applyNumberFormat="1" applyFont="1" applyFill="1" applyBorder="1" applyAlignment="1">
      <alignment horizontal="center" vertical="center" wrapText="1"/>
    </xf>
    <xf numFmtId="0" fontId="37" fillId="24" borderId="87" xfId="0" applyFont="1" applyFill="1" applyBorder="1" applyAlignment="1">
      <alignment horizontal="left" vertical="center" wrapText="1"/>
    </xf>
    <xf numFmtId="9" fontId="37" fillId="24" borderId="88" xfId="0" applyNumberFormat="1" applyFont="1" applyFill="1" applyBorder="1" applyAlignment="1">
      <alignment horizontal="center" vertical="center" wrapText="1"/>
    </xf>
    <xf numFmtId="0" fontId="45" fillId="9" borderId="89" xfId="0" applyFont="1" applyFill="1" applyBorder="1" applyAlignment="1">
      <alignment horizontal="center" vertical="center" wrapText="1"/>
    </xf>
    <xf numFmtId="0" fontId="45" fillId="9" borderId="57" xfId="0" applyFont="1" applyFill="1" applyBorder="1" applyAlignment="1">
      <alignment horizontal="center" vertical="center" wrapText="1"/>
    </xf>
    <xf numFmtId="0" fontId="45" fillId="9" borderId="63" xfId="0" applyFont="1" applyFill="1" applyBorder="1" applyAlignment="1">
      <alignment horizontal="center" vertical="center" wrapText="1"/>
    </xf>
    <xf numFmtId="0" fontId="45" fillId="9" borderId="90" xfId="0" applyFont="1" applyFill="1" applyBorder="1" applyAlignment="1">
      <alignment horizontal="center" vertical="center" wrapText="1"/>
    </xf>
    <xf numFmtId="0" fontId="36" fillId="24" borderId="86" xfId="0" applyFont="1" applyFill="1" applyBorder="1" applyAlignment="1">
      <alignment horizontal="center" vertical="center"/>
    </xf>
    <xf numFmtId="0" fontId="35" fillId="24" borderId="87" xfId="0" applyFont="1" applyFill="1" applyBorder="1" applyAlignment="1">
      <alignment horizontal="left" vertical="center" wrapText="1"/>
    </xf>
    <xf numFmtId="0" fontId="35" fillId="24" borderId="87" xfId="0" applyFont="1" applyFill="1" applyBorder="1" applyAlignment="1">
      <alignment horizontal="center" vertical="center" wrapText="1"/>
    </xf>
    <xf numFmtId="168" fontId="35" fillId="24" borderId="87" xfId="11" applyNumberFormat="1" applyFont="1" applyFill="1" applyBorder="1" applyAlignment="1">
      <alignment horizontal="center" vertical="center" wrapText="1"/>
    </xf>
    <xf numFmtId="9" fontId="35" fillId="24" borderId="88" xfId="0" applyNumberFormat="1" applyFont="1" applyFill="1" applyBorder="1" applyAlignment="1">
      <alignment horizontal="center" vertical="center" wrapText="1"/>
    </xf>
    <xf numFmtId="0" fontId="49" fillId="24" borderId="87" xfId="0" applyFont="1" applyFill="1" applyBorder="1" applyAlignment="1">
      <alignment horizontal="left" vertical="center" wrapText="1"/>
    </xf>
    <xf numFmtId="9" fontId="35" fillId="24" borderId="88" xfId="0" applyNumberFormat="1" applyFont="1" applyFill="1" applyBorder="1" applyAlignment="1">
      <alignment horizontal="center" vertical="center"/>
    </xf>
    <xf numFmtId="169" fontId="35" fillId="24" borderId="88" xfId="0" applyNumberFormat="1" applyFont="1" applyFill="1" applyBorder="1" applyAlignment="1">
      <alignment horizontal="center" vertical="center"/>
    </xf>
    <xf numFmtId="0" fontId="45" fillId="9" borderId="85" xfId="0" applyFont="1" applyFill="1" applyBorder="1" applyAlignment="1">
      <alignment horizontal="center" vertical="center" wrapText="1"/>
    </xf>
    <xf numFmtId="169" fontId="35" fillId="24" borderId="88" xfId="0" applyNumberFormat="1" applyFont="1" applyFill="1" applyBorder="1" applyAlignment="1">
      <alignment horizontal="center" vertical="center" wrapText="1"/>
    </xf>
    <xf numFmtId="0" fontId="45" fillId="9" borderId="91" xfId="0" applyFont="1" applyFill="1" applyBorder="1" applyAlignment="1">
      <alignment horizontal="center" vertical="center" wrapText="1"/>
    </xf>
    <xf numFmtId="0" fontId="45" fillId="9" borderId="92" xfId="0" applyFont="1" applyFill="1" applyBorder="1" applyAlignment="1">
      <alignment horizontal="center" vertical="center" wrapText="1"/>
    </xf>
    <xf numFmtId="169" fontId="35" fillId="24" borderId="93" xfId="0" applyNumberFormat="1" applyFont="1" applyFill="1" applyBorder="1" applyAlignment="1">
      <alignment horizontal="center" vertical="center" wrapText="1"/>
    </xf>
    <xf numFmtId="0" fontId="35" fillId="24" borderId="88" xfId="0" applyFont="1" applyFill="1" applyBorder="1" applyAlignment="1">
      <alignment horizontal="center" vertical="center" wrapText="1"/>
    </xf>
    <xf numFmtId="3" fontId="35" fillId="24" borderId="87" xfId="12" applyNumberFormat="1" applyFont="1" applyFill="1" applyBorder="1" applyAlignment="1">
      <alignment horizontal="center" vertical="center" wrapText="1"/>
    </xf>
    <xf numFmtId="0" fontId="35" fillId="24" borderId="87" xfId="12" applyNumberFormat="1" applyFont="1" applyFill="1" applyBorder="1" applyAlignment="1">
      <alignment horizontal="center" vertical="center" wrapText="1"/>
    </xf>
    <xf numFmtId="0" fontId="35" fillId="24" borderId="87" xfId="0" applyFont="1" applyFill="1" applyBorder="1" applyAlignment="1">
      <alignment horizontal="left" vertical="center"/>
    </xf>
    <xf numFmtId="0" fontId="36" fillId="24" borderId="94" xfId="0" applyFont="1" applyFill="1" applyBorder="1" applyAlignment="1">
      <alignment horizontal="center" vertical="center"/>
    </xf>
    <xf numFmtId="0" fontId="35" fillId="24" borderId="95" xfId="0" applyFont="1" applyFill="1" applyBorder="1" applyAlignment="1">
      <alignment horizontal="left" vertical="center" wrapText="1"/>
    </xf>
    <xf numFmtId="0" fontId="35" fillId="24" borderId="95" xfId="0" applyFont="1" applyFill="1" applyBorder="1" applyAlignment="1">
      <alignment horizontal="center" vertical="center" wrapText="1"/>
    </xf>
    <xf numFmtId="168" fontId="35" fillId="24" borderId="95" xfId="11" applyNumberFormat="1" applyFont="1" applyFill="1" applyBorder="1" applyAlignment="1">
      <alignment horizontal="center" vertical="center" wrapText="1"/>
    </xf>
    <xf numFmtId="9" fontId="35" fillId="24" borderId="96" xfId="0" applyNumberFormat="1" applyFont="1" applyFill="1" applyBorder="1" applyAlignment="1">
      <alignment horizontal="center" vertical="center"/>
    </xf>
    <xf numFmtId="3" fontId="36" fillId="24" borderId="86" xfId="0" applyNumberFormat="1" applyFont="1" applyFill="1" applyBorder="1" applyAlignment="1">
      <alignment horizontal="center" vertical="center" wrapText="1"/>
    </xf>
    <xf numFmtId="0" fontId="35" fillId="24" borderId="98" xfId="0" applyFont="1" applyFill="1" applyBorder="1" applyAlignment="1">
      <alignment horizontal="center" vertical="center" wrapText="1"/>
    </xf>
    <xf numFmtId="9" fontId="35" fillId="24" borderId="93" xfId="0" applyNumberFormat="1" applyFont="1" applyFill="1" applyBorder="1" applyAlignment="1">
      <alignment horizontal="center" vertical="center" wrapText="1"/>
    </xf>
    <xf numFmtId="0" fontId="45" fillId="9" borderId="99" xfId="0" applyFont="1" applyFill="1" applyBorder="1" applyAlignment="1">
      <alignment horizontal="center" vertical="center" wrapText="1"/>
    </xf>
    <xf numFmtId="0" fontId="45" fillId="9" borderId="100" xfId="0" applyFont="1" applyFill="1" applyBorder="1" applyAlignment="1">
      <alignment horizontal="center" vertical="center" wrapText="1"/>
    </xf>
    <xf numFmtId="0" fontId="35" fillId="24" borderId="93" xfId="0" applyFont="1" applyFill="1" applyBorder="1" applyAlignment="1">
      <alignment horizontal="center" vertical="center" wrapText="1"/>
    </xf>
    <xf numFmtId="0" fontId="37" fillId="5" borderId="102" xfId="0" applyFont="1" applyFill="1" applyBorder="1" applyAlignment="1">
      <alignment horizontal="left" vertical="center"/>
    </xf>
    <xf numFmtId="0" fontId="37" fillId="5" borderId="102" xfId="0" applyFont="1" applyFill="1" applyBorder="1" applyAlignment="1">
      <alignment horizontal="center" vertical="center"/>
    </xf>
    <xf numFmtId="0" fontId="37" fillId="5" borderId="103" xfId="0" applyFont="1" applyFill="1" applyBorder="1" applyAlignment="1">
      <alignment horizontal="right" vertical="center"/>
    </xf>
    <xf numFmtId="0" fontId="35" fillId="24" borderId="87" xfId="0" applyFont="1" applyFill="1" applyBorder="1" applyAlignment="1">
      <alignment vertical="center" wrapText="1"/>
    </xf>
    <xf numFmtId="0" fontId="31" fillId="0" borderId="0" xfId="0" applyFont="1" applyAlignment="1">
      <alignment horizontal="center"/>
    </xf>
    <xf numFmtId="0" fontId="44" fillId="9" borderId="81" xfId="0" applyFont="1" applyFill="1" applyBorder="1" applyAlignment="1">
      <alignment horizontal="center" vertical="center"/>
    </xf>
    <xf numFmtId="0" fontId="44" fillId="5" borderId="84" xfId="0" applyFont="1" applyFill="1" applyBorder="1" applyAlignment="1">
      <alignment horizontal="center"/>
    </xf>
    <xf numFmtId="0" fontId="44" fillId="24" borderId="86" xfId="0" applyFont="1" applyFill="1" applyBorder="1" applyAlignment="1">
      <alignment horizontal="center" vertical="center" wrapText="1"/>
    </xf>
    <xf numFmtId="0" fontId="44" fillId="24" borderId="86" xfId="0" applyFont="1" applyFill="1" applyBorder="1" applyAlignment="1">
      <alignment horizontal="center" vertical="center"/>
    </xf>
    <xf numFmtId="0" fontId="44" fillId="5" borderId="101" xfId="0" applyFont="1" applyFill="1" applyBorder="1" applyAlignment="1">
      <alignment horizontal="center" vertical="center"/>
    </xf>
    <xf numFmtId="0" fontId="24" fillId="9" borderId="81" xfId="0" applyFont="1" applyFill="1" applyBorder="1" applyAlignment="1">
      <alignment horizontal="center" vertical="center" wrapText="1"/>
    </xf>
    <xf numFmtId="0" fontId="24" fillId="9" borderId="87" xfId="0" applyFont="1" applyFill="1" applyBorder="1" applyAlignment="1">
      <alignment horizontal="center" vertical="center" wrapText="1"/>
    </xf>
    <xf numFmtId="0" fontId="24" fillId="9" borderId="91" xfId="0" applyFont="1" applyFill="1" applyBorder="1" applyAlignment="1">
      <alignment horizontal="center" vertical="center" wrapText="1"/>
    </xf>
    <xf numFmtId="0" fontId="50" fillId="24" borderId="88" xfId="9" applyFont="1" applyFill="1" applyBorder="1" applyAlignment="1" applyProtection="1">
      <alignment horizontal="center" vertical="center" wrapText="1"/>
    </xf>
    <xf numFmtId="3" fontId="35" fillId="24" borderId="87" xfId="0" applyNumberFormat="1" applyFont="1" applyFill="1" applyBorder="1" applyAlignment="1">
      <alignment horizontal="center" vertical="center" wrapText="1"/>
    </xf>
    <xf numFmtId="0" fontId="33" fillId="5" borderId="0" xfId="0" applyFont="1" applyFill="1"/>
    <xf numFmtId="0" fontId="0" fillId="0" borderId="104" xfId="0" applyBorder="1"/>
    <xf numFmtId="0" fontId="0" fillId="0" borderId="105" xfId="0" applyBorder="1"/>
    <xf numFmtId="0" fontId="0" fillId="0" borderId="100" xfId="0" applyBorder="1"/>
    <xf numFmtId="0" fontId="0" fillId="0" borderId="106" xfId="0" applyBorder="1"/>
    <xf numFmtId="0" fontId="54" fillId="0" borderId="104" xfId="0" applyFont="1" applyBorder="1"/>
    <xf numFmtId="0" fontId="52" fillId="25" borderId="97" xfId="0" applyFont="1" applyFill="1" applyBorder="1" applyAlignment="1">
      <alignment vertical="center"/>
    </xf>
    <xf numFmtId="0" fontId="52" fillId="25" borderId="97" xfId="0" applyFont="1" applyFill="1" applyBorder="1"/>
    <xf numFmtId="0" fontId="53" fillId="25" borderId="97" xfId="0" applyFont="1" applyFill="1" applyBorder="1"/>
    <xf numFmtId="0" fontId="54" fillId="0" borderId="106" xfId="0" applyFont="1" applyBorder="1"/>
    <xf numFmtId="0" fontId="54" fillId="0" borderId="0" xfId="0" applyFont="1"/>
    <xf numFmtId="0" fontId="51" fillId="24" borderId="108" xfId="0" applyFont="1" applyFill="1" applyBorder="1" applyAlignment="1">
      <alignment horizontal="left" wrapText="1"/>
    </xf>
    <xf numFmtId="0" fontId="58" fillId="24" borderId="97" xfId="0" applyFont="1" applyFill="1" applyBorder="1" applyAlignment="1">
      <alignment vertical="center"/>
    </xf>
    <xf numFmtId="0" fontId="58" fillId="24" borderId="97" xfId="0" applyFont="1" applyFill="1" applyBorder="1" applyAlignment="1">
      <alignment horizontal="center" vertical="center"/>
    </xf>
    <xf numFmtId="0" fontId="51" fillId="24" borderId="67" xfId="0" applyFont="1" applyFill="1" applyBorder="1" applyAlignment="1">
      <alignment horizontal="left" wrapText="1"/>
    </xf>
    <xf numFmtId="0" fontId="0" fillId="5" borderId="104" xfId="0" applyFill="1" applyBorder="1"/>
    <xf numFmtId="0" fontId="23" fillId="5" borderId="112" xfId="0" applyFont="1" applyFill="1" applyBorder="1" applyAlignment="1">
      <alignment horizontal="left" vertical="center" wrapText="1"/>
    </xf>
    <xf numFmtId="0" fontId="57" fillId="5" borderId="112" xfId="0" applyFont="1" applyFill="1" applyBorder="1" applyAlignment="1">
      <alignment vertical="center"/>
    </xf>
    <xf numFmtId="0" fontId="52" fillId="5" borderId="112" xfId="0" applyFont="1" applyFill="1" applyBorder="1" applyAlignment="1">
      <alignment horizontal="center" vertical="center"/>
    </xf>
    <xf numFmtId="0" fontId="0" fillId="5" borderId="106" xfId="0" applyFill="1" applyBorder="1"/>
    <xf numFmtId="0" fontId="54" fillId="0" borderId="0" xfId="0" applyFont="1" applyAlignment="1">
      <alignment vertical="center"/>
    </xf>
    <xf numFmtId="0" fontId="1" fillId="25" borderId="97" xfId="0" applyFont="1" applyFill="1" applyBorder="1"/>
    <xf numFmtId="0" fontId="31" fillId="25" borderId="97" xfId="0" applyFont="1" applyFill="1" applyBorder="1"/>
    <xf numFmtId="0" fontId="0" fillId="0" borderId="113" xfId="0" applyBorder="1"/>
    <xf numFmtId="0" fontId="0" fillId="0" borderId="114" xfId="0" applyBorder="1"/>
    <xf numFmtId="0" fontId="59" fillId="0" borderId="104" xfId="0" applyFont="1" applyBorder="1"/>
    <xf numFmtId="0" fontId="59" fillId="0" borderId="106" xfId="0" applyFont="1" applyBorder="1"/>
    <xf numFmtId="0" fontId="59" fillId="0" borderId="0" xfId="0" applyFont="1"/>
    <xf numFmtId="0" fontId="59" fillId="0" borderId="97" xfId="0" applyFont="1" applyBorder="1"/>
    <xf numFmtId="49" fontId="51" fillId="24" borderId="67" xfId="0" applyNumberFormat="1" applyFont="1" applyFill="1" applyBorder="1" applyAlignment="1">
      <alignment vertical="center"/>
    </xf>
    <xf numFmtId="0" fontId="60" fillId="0" borderId="104" xfId="0" applyFont="1" applyBorder="1"/>
    <xf numFmtId="0" fontId="57" fillId="25" borderId="0" xfId="0" applyFont="1" applyFill="1"/>
    <xf numFmtId="0" fontId="41" fillId="25" borderId="0" xfId="0" applyFont="1" applyFill="1"/>
    <xf numFmtId="0" fontId="60" fillId="0" borderId="106" xfId="0" applyFont="1" applyBorder="1"/>
    <xf numFmtId="0" fontId="60" fillId="0" borderId="0" xfId="0" applyFont="1"/>
    <xf numFmtId="0" fontId="21" fillId="14" borderId="107" xfId="0" applyFont="1" applyFill="1" applyBorder="1" applyAlignment="1">
      <alignment vertical="center"/>
    </xf>
    <xf numFmtId="0" fontId="32" fillId="14" borderId="107" xfId="0" applyFont="1" applyFill="1" applyBorder="1" applyAlignment="1">
      <alignment vertical="center"/>
    </xf>
    <xf numFmtId="0" fontId="31" fillId="14" borderId="107" xfId="0" applyFont="1" applyFill="1" applyBorder="1" applyAlignment="1">
      <alignment vertical="center"/>
    </xf>
    <xf numFmtId="0" fontId="0" fillId="0" borderId="98" xfId="0" applyBorder="1" applyAlignment="1">
      <alignment vertical="center"/>
    </xf>
    <xf numFmtId="0" fontId="0" fillId="0" borderId="99" xfId="0" applyBorder="1" applyAlignment="1">
      <alignment vertical="center"/>
    </xf>
    <xf numFmtId="0" fontId="0" fillId="0" borderId="99" xfId="0" applyBorder="1"/>
    <xf numFmtId="0" fontId="57" fillId="25" borderId="107" xfId="0" applyFont="1" applyFill="1" applyBorder="1" applyAlignment="1">
      <alignment vertical="center"/>
    </xf>
    <xf numFmtId="0" fontId="57" fillId="25" borderId="107" xfId="0" applyFont="1" applyFill="1" applyBorder="1"/>
    <xf numFmtId="0" fontId="61" fillId="24" borderId="97" xfId="0" applyFont="1" applyFill="1" applyBorder="1" applyAlignment="1">
      <alignment vertical="center"/>
    </xf>
    <xf numFmtId="0" fontId="0" fillId="0" borderId="110" xfId="0" applyBorder="1"/>
    <xf numFmtId="0" fontId="0" fillId="0" borderId="111" xfId="0" applyBorder="1"/>
    <xf numFmtId="0" fontId="17" fillId="0" borderId="0" xfId="9" applyFill="1"/>
    <xf numFmtId="0" fontId="57" fillId="25" borderId="98" xfId="0" applyFont="1" applyFill="1" applyBorder="1" applyAlignment="1">
      <alignment vertical="center"/>
    </xf>
    <xf numFmtId="0" fontId="23" fillId="25" borderId="107" xfId="0" applyFont="1" applyFill="1" applyBorder="1"/>
    <xf numFmtId="0" fontId="1" fillId="25" borderId="107" xfId="0" applyFont="1" applyFill="1" applyBorder="1"/>
    <xf numFmtId="0" fontId="31" fillId="25" borderId="107" xfId="0" applyFont="1" applyFill="1" applyBorder="1"/>
    <xf numFmtId="0" fontId="31" fillId="25" borderId="99" xfId="0" applyFont="1" applyFill="1" applyBorder="1"/>
    <xf numFmtId="0" fontId="0" fillId="0" borderId="109" xfId="0" applyBorder="1"/>
    <xf numFmtId="0" fontId="31" fillId="14" borderId="107" xfId="0" applyFont="1" applyFill="1" applyBorder="1"/>
    <xf numFmtId="0" fontId="24" fillId="9" borderId="106" xfId="0" applyFont="1" applyFill="1" applyBorder="1" applyAlignment="1">
      <alignment horizontal="left" vertical="center" wrapText="1"/>
    </xf>
    <xf numFmtId="0" fontId="22" fillId="0" borderId="0" xfId="0" applyFont="1" applyAlignment="1">
      <alignment vertical="center"/>
    </xf>
    <xf numFmtId="0" fontId="22" fillId="0" borderId="0" xfId="0" applyFont="1"/>
    <xf numFmtId="0" fontId="22" fillId="24" borderId="0" xfId="0" applyFont="1" applyFill="1"/>
    <xf numFmtId="0" fontId="23" fillId="5" borderId="121" xfId="0" applyFont="1" applyFill="1" applyBorder="1" applyAlignment="1">
      <alignment horizontal="left" vertical="center" wrapText="1"/>
    </xf>
    <xf numFmtId="0" fontId="23" fillId="5" borderId="122" xfId="0" applyFont="1" applyFill="1" applyBorder="1" applyAlignment="1">
      <alignment horizontal="left" vertical="center" wrapText="1"/>
    </xf>
    <xf numFmtId="0" fontId="53" fillId="14" borderId="107" xfId="0" applyFont="1" applyFill="1" applyBorder="1"/>
    <xf numFmtId="0" fontId="54" fillId="0" borderId="97" xfId="0" applyFont="1" applyBorder="1"/>
    <xf numFmtId="0" fontId="53" fillId="26" borderId="107" xfId="0" applyFont="1" applyFill="1" applyBorder="1"/>
    <xf numFmtId="0" fontId="31" fillId="26" borderId="98" xfId="0" applyFont="1" applyFill="1" applyBorder="1"/>
    <xf numFmtId="0" fontId="31" fillId="26" borderId="107" xfId="0" applyFont="1" applyFill="1" applyBorder="1"/>
    <xf numFmtId="0" fontId="57" fillId="5" borderId="0" xfId="0" applyFont="1" applyFill="1" applyAlignment="1">
      <alignment vertical="center"/>
    </xf>
    <xf numFmtId="0" fontId="52" fillId="5" borderId="0" xfId="0" applyFont="1" applyFill="1" applyAlignment="1">
      <alignment horizontal="center" vertical="center"/>
    </xf>
    <xf numFmtId="0" fontId="0" fillId="0" borderId="97" xfId="0" applyBorder="1"/>
    <xf numFmtId="0" fontId="58" fillId="24" borderId="118" xfId="0" applyFont="1" applyFill="1" applyBorder="1" applyAlignment="1">
      <alignment horizontal="left" wrapText="1"/>
    </xf>
    <xf numFmtId="0" fontId="0" fillId="0" borderId="107" xfId="0" applyBorder="1"/>
    <xf numFmtId="0" fontId="22" fillId="0" borderId="104" xfId="0" applyFont="1" applyBorder="1"/>
    <xf numFmtId="0" fontId="41" fillId="14" borderId="107" xfId="0" applyFont="1" applyFill="1" applyBorder="1" applyAlignment="1">
      <alignment vertical="center"/>
    </xf>
    <xf numFmtId="0" fontId="24" fillId="9" borderId="99" xfId="0" applyFont="1" applyFill="1" applyBorder="1" applyAlignment="1">
      <alignment horizontal="left" vertical="center" wrapText="1"/>
    </xf>
    <xf numFmtId="0" fontId="57" fillId="25" borderId="97" xfId="0" applyFont="1" applyFill="1" applyBorder="1" applyAlignment="1">
      <alignment vertical="center"/>
    </xf>
    <xf numFmtId="0" fontId="54" fillId="0" borderId="111" xfId="0" applyFont="1" applyBorder="1"/>
    <xf numFmtId="0" fontId="0" fillId="5" borderId="110" xfId="0" applyFill="1" applyBorder="1"/>
    <xf numFmtId="0" fontId="0" fillId="5" borderId="111" xfId="0" applyFill="1" applyBorder="1"/>
    <xf numFmtId="0" fontId="22" fillId="0" borderId="123" xfId="0" applyFont="1" applyBorder="1"/>
    <xf numFmtId="0" fontId="57" fillId="25" borderId="97" xfId="0" applyFont="1" applyFill="1" applyBorder="1"/>
    <xf numFmtId="0" fontId="41" fillId="14" borderId="0" xfId="0" applyFont="1" applyFill="1" applyAlignment="1">
      <alignment vertical="center"/>
    </xf>
    <xf numFmtId="0" fontId="32" fillId="14" borderId="0" xfId="0" applyFont="1" applyFill="1"/>
    <xf numFmtId="0" fontId="41" fillId="14" borderId="97" xfId="0" applyFont="1" applyFill="1" applyBorder="1"/>
    <xf numFmtId="0" fontId="31" fillId="14" borderId="97" xfId="0" applyFont="1" applyFill="1" applyBorder="1"/>
    <xf numFmtId="0" fontId="65" fillId="24" borderId="126" xfId="0" applyFont="1" applyFill="1" applyBorder="1" applyAlignment="1">
      <alignment horizontal="left" vertical="center" wrapText="1"/>
    </xf>
    <xf numFmtId="0" fontId="51" fillId="24" borderId="127" xfId="0" applyFont="1" applyFill="1" applyBorder="1" applyAlignment="1">
      <alignment horizontal="center" vertical="center"/>
    </xf>
    <xf numFmtId="0" fontId="61" fillId="24" borderId="0" xfId="0" applyFont="1" applyFill="1" applyAlignment="1">
      <alignment vertical="center"/>
    </xf>
    <xf numFmtId="0" fontId="58" fillId="24" borderId="0" xfId="0" applyFont="1" applyFill="1" applyAlignment="1">
      <alignment horizontal="center" vertical="center"/>
    </xf>
    <xf numFmtId="0" fontId="0" fillId="0" borderId="127" xfId="0" applyBorder="1"/>
    <xf numFmtId="0" fontId="24" fillId="5" borderId="112" xfId="0" applyFont="1" applyFill="1" applyBorder="1" applyAlignment="1">
      <alignment horizontal="left" vertical="center" wrapText="1"/>
    </xf>
    <xf numFmtId="0" fontId="24" fillId="5" borderId="112" xfId="0" applyFont="1" applyFill="1" applyBorder="1"/>
    <xf numFmtId="0" fontId="1" fillId="5" borderId="112" xfId="0" applyFont="1" applyFill="1" applyBorder="1" applyAlignment="1">
      <alignment vertical="center"/>
    </xf>
    <xf numFmtId="0" fontId="67" fillId="14" borderId="0" xfId="0" applyFont="1" applyFill="1"/>
    <xf numFmtId="0" fontId="41" fillId="14" borderId="0" xfId="0" applyFont="1" applyFill="1"/>
    <xf numFmtId="0" fontId="31" fillId="14" borderId="0" xfId="0" applyFont="1" applyFill="1"/>
    <xf numFmtId="0" fontId="0" fillId="0" borderId="116" xfId="0" applyBorder="1"/>
    <xf numFmtId="0" fontId="1" fillId="9" borderId="125" xfId="0" applyFont="1" applyFill="1" applyBorder="1" applyAlignment="1">
      <alignment horizontal="left" vertical="center" wrapText="1"/>
    </xf>
    <xf numFmtId="0" fontId="65" fillId="24" borderId="127" xfId="0" applyFont="1" applyFill="1" applyBorder="1" applyAlignment="1">
      <alignment horizontal="left" wrapText="1"/>
    </xf>
    <xf numFmtId="49" fontId="51" fillId="24" borderId="127" xfId="0" applyNumberFormat="1" applyFont="1" applyFill="1" applyBorder="1" applyAlignment="1">
      <alignment horizontal="center" vertical="center"/>
    </xf>
    <xf numFmtId="49" fontId="51" fillId="24" borderId="129" xfId="0" applyNumberFormat="1" applyFont="1" applyFill="1" applyBorder="1" applyAlignment="1">
      <alignment horizontal="center" vertical="center"/>
    </xf>
    <xf numFmtId="0" fontId="61" fillId="24" borderId="130" xfId="0" applyFont="1" applyFill="1" applyBorder="1" applyAlignment="1">
      <alignment vertical="center"/>
    </xf>
    <xf numFmtId="0" fontId="58" fillId="24" borderId="130" xfId="0" applyFont="1" applyFill="1" applyBorder="1" applyAlignment="1">
      <alignment horizontal="center" vertical="center"/>
    </xf>
    <xf numFmtId="0" fontId="58" fillId="24" borderId="131" xfId="0" applyFont="1" applyFill="1" applyBorder="1" applyAlignment="1">
      <alignment horizontal="center" vertical="center"/>
    </xf>
    <xf numFmtId="0" fontId="51" fillId="14" borderId="0" xfId="0" applyFont="1" applyFill="1" applyAlignment="1">
      <alignment horizontal="center" vertical="center"/>
    </xf>
    <xf numFmtId="0" fontId="58" fillId="24" borderId="117" xfId="0" applyFont="1" applyFill="1" applyBorder="1" applyAlignment="1">
      <alignment horizontal="center" vertical="center"/>
    </xf>
    <xf numFmtId="0" fontId="65" fillId="24" borderId="132" xfId="0" applyFont="1" applyFill="1" applyBorder="1" applyAlignment="1">
      <alignment horizontal="left" wrapText="1"/>
    </xf>
    <xf numFmtId="49" fontId="51" fillId="24" borderId="132" xfId="0" applyNumberFormat="1" applyFont="1" applyFill="1" applyBorder="1" applyAlignment="1">
      <alignment horizontal="center" vertical="center"/>
    </xf>
    <xf numFmtId="49" fontId="51" fillId="24" borderId="133" xfId="0" applyNumberFormat="1" applyFont="1" applyFill="1" applyBorder="1" applyAlignment="1">
      <alignment horizontal="center" vertical="center"/>
    </xf>
    <xf numFmtId="0" fontId="52" fillId="5" borderId="122" xfId="0" applyFont="1" applyFill="1" applyBorder="1" applyAlignment="1">
      <alignment horizontal="center" vertical="center"/>
    </xf>
    <xf numFmtId="0" fontId="32" fillId="14" borderId="97" xfId="0" applyFont="1" applyFill="1" applyBorder="1"/>
    <xf numFmtId="0" fontId="31" fillId="14" borderId="111" xfId="0" applyFont="1" applyFill="1" applyBorder="1"/>
    <xf numFmtId="49" fontId="51" fillId="24" borderId="135" xfId="0" applyNumberFormat="1" applyFont="1" applyFill="1" applyBorder="1" applyAlignment="1">
      <alignment horizontal="center" vertical="center"/>
    </xf>
    <xf numFmtId="0" fontId="0" fillId="0" borderId="117" xfId="0" applyBorder="1"/>
    <xf numFmtId="0" fontId="58" fillId="24" borderId="136" xfId="0" applyFont="1" applyFill="1" applyBorder="1" applyAlignment="1">
      <alignment horizontal="center" vertical="center"/>
    </xf>
    <xf numFmtId="0" fontId="58" fillId="14" borderId="0" xfId="0" applyFont="1" applyFill="1" applyAlignment="1">
      <alignment vertical="center"/>
    </xf>
    <xf numFmtId="0" fontId="58" fillId="24" borderId="104" xfId="0" applyFont="1" applyFill="1" applyBorder="1" applyAlignment="1">
      <alignment horizontal="center" vertical="center"/>
    </xf>
    <xf numFmtId="0" fontId="0" fillId="0" borderId="138" xfId="0" applyBorder="1"/>
    <xf numFmtId="0" fontId="41" fillId="14" borderId="107" xfId="0" applyFont="1" applyFill="1" applyBorder="1"/>
    <xf numFmtId="0" fontId="1" fillId="9" borderId="0" xfId="0" applyFont="1" applyFill="1" applyAlignment="1">
      <alignment horizontal="left" vertical="center" wrapText="1"/>
    </xf>
    <xf numFmtId="0" fontId="0" fillId="0" borderId="140" xfId="0" applyBorder="1"/>
    <xf numFmtId="0" fontId="0" fillId="0" borderId="141" xfId="0" applyBorder="1"/>
    <xf numFmtId="0" fontId="0" fillId="0" borderId="142" xfId="0" applyBorder="1"/>
    <xf numFmtId="0" fontId="0" fillId="0" borderId="143" xfId="0" applyBorder="1"/>
    <xf numFmtId="0" fontId="0" fillId="0" borderId="137" xfId="0" applyBorder="1"/>
    <xf numFmtId="0" fontId="0" fillId="0" borderId="144" xfId="0" applyBorder="1"/>
    <xf numFmtId="0" fontId="52" fillId="5" borderId="0" xfId="0" applyFont="1" applyFill="1"/>
    <xf numFmtId="0" fontId="68" fillId="5" borderId="0" xfId="0" applyFont="1" applyFill="1"/>
    <xf numFmtId="0" fontId="67" fillId="5" borderId="0" xfId="0" applyFont="1" applyFill="1"/>
    <xf numFmtId="0" fontId="41" fillId="14" borderId="97" xfId="0" applyFont="1" applyFill="1" applyBorder="1" applyAlignment="1">
      <alignment vertical="center"/>
    </xf>
    <xf numFmtId="0" fontId="53" fillId="5" borderId="97" xfId="0" applyFont="1" applyFill="1" applyBorder="1"/>
    <xf numFmtId="0" fontId="69" fillId="5" borderId="0" xfId="0" applyFont="1" applyFill="1"/>
    <xf numFmtId="0" fontId="65" fillId="24" borderId="67" xfId="0" applyFont="1" applyFill="1" applyBorder="1" applyAlignment="1">
      <alignment horizontal="left" vertical="center" wrapText="1"/>
    </xf>
    <xf numFmtId="0" fontId="51" fillId="24" borderId="67" xfId="0" applyFont="1" applyFill="1" applyBorder="1" applyAlignment="1">
      <alignment horizontal="center" vertical="center"/>
    </xf>
    <xf numFmtId="0" fontId="57" fillId="5" borderId="0" xfId="0" applyFont="1" applyFill="1" applyAlignment="1">
      <alignment horizontal="left" vertical="center" wrapText="1"/>
    </xf>
    <xf numFmtId="0" fontId="51" fillId="5" borderId="0" xfId="0" applyFont="1" applyFill="1" applyAlignment="1">
      <alignment horizontal="left" wrapText="1"/>
    </xf>
    <xf numFmtId="0" fontId="51" fillId="5" borderId="0" xfId="0" applyFont="1" applyFill="1" applyAlignment="1">
      <alignment horizontal="center" vertical="center"/>
    </xf>
    <xf numFmtId="0" fontId="58" fillId="5" borderId="0" xfId="0" applyFont="1" applyFill="1" applyAlignment="1">
      <alignment vertical="center"/>
    </xf>
    <xf numFmtId="0" fontId="58" fillId="5" borderId="0" xfId="0" applyFont="1" applyFill="1" applyAlignment="1">
      <alignment horizontal="center" vertical="center"/>
    </xf>
    <xf numFmtId="0" fontId="51" fillId="5" borderId="104" xfId="0" applyFont="1" applyFill="1" applyBorder="1" applyAlignment="1">
      <alignment horizontal="center" vertical="center"/>
    </xf>
    <xf numFmtId="0" fontId="65" fillId="24" borderId="108" xfId="0" applyFont="1" applyFill="1" applyBorder="1" applyAlignment="1">
      <alignment horizontal="left" vertical="center" wrapText="1"/>
    </xf>
    <xf numFmtId="0" fontId="70" fillId="0" borderId="0" xfId="0" applyFont="1"/>
    <xf numFmtId="0" fontId="23" fillId="5" borderId="0" xfId="0" applyFont="1" applyFill="1" applyAlignment="1">
      <alignment horizontal="left" vertical="center" wrapText="1"/>
    </xf>
    <xf numFmtId="0" fontId="57" fillId="5" borderId="0" xfId="0" applyFont="1" applyFill="1"/>
    <xf numFmtId="0" fontId="24" fillId="25" borderId="107" xfId="0" applyFont="1" applyFill="1" applyBorder="1"/>
    <xf numFmtId="0" fontId="41" fillId="14" borderId="109" xfId="0" applyFont="1" applyFill="1" applyBorder="1" applyAlignment="1">
      <alignment vertical="center"/>
    </xf>
    <xf numFmtId="0" fontId="32" fillId="14" borderId="109" xfId="0" applyFont="1" applyFill="1" applyBorder="1"/>
    <xf numFmtId="0" fontId="66" fillId="12" borderId="107" xfId="0" applyFont="1" applyFill="1" applyBorder="1"/>
    <xf numFmtId="0" fontId="67" fillId="12" borderId="107" xfId="0" applyFont="1" applyFill="1" applyBorder="1"/>
    <xf numFmtId="0" fontId="67" fillId="12" borderId="99" xfId="0" applyFont="1" applyFill="1" applyBorder="1"/>
    <xf numFmtId="0" fontId="65" fillId="24" borderId="67" xfId="0" applyFont="1" applyFill="1" applyBorder="1" applyAlignment="1">
      <alignment horizontal="left" wrapText="1"/>
    </xf>
    <xf numFmtId="0" fontId="65" fillId="24" borderId="108" xfId="0" applyFont="1" applyFill="1" applyBorder="1" applyAlignment="1">
      <alignment horizontal="left" wrapText="1"/>
    </xf>
    <xf numFmtId="0" fontId="57" fillId="5" borderId="104" xfId="0" applyFont="1" applyFill="1" applyBorder="1"/>
    <xf numFmtId="41" fontId="22" fillId="0" borderId="0" xfId="12" applyFont="1"/>
    <xf numFmtId="41" fontId="0" fillId="0" borderId="0" xfId="12" applyFont="1"/>
    <xf numFmtId="0" fontId="32" fillId="5" borderId="0" xfId="0" applyFont="1" applyFill="1" applyAlignment="1">
      <alignment horizontal="left"/>
    </xf>
    <xf numFmtId="0" fontId="32" fillId="27" borderId="0" xfId="0" applyFont="1" applyFill="1" applyAlignment="1">
      <alignment vertical="center"/>
    </xf>
    <xf numFmtId="0" fontId="0" fillId="5" borderId="109" xfId="0" applyFill="1" applyBorder="1"/>
    <xf numFmtId="0" fontId="54" fillId="5" borderId="0" xfId="0" applyFont="1" applyFill="1"/>
    <xf numFmtId="0" fontId="54" fillId="5" borderId="99" xfId="0" applyFont="1" applyFill="1" applyBorder="1"/>
    <xf numFmtId="0" fontId="0" fillId="5" borderId="97" xfId="0" applyFill="1" applyBorder="1"/>
    <xf numFmtId="0" fontId="0" fillId="5" borderId="107" xfId="0" applyFill="1" applyBorder="1"/>
    <xf numFmtId="49" fontId="51" fillId="24" borderId="107" xfId="0" applyNumberFormat="1" applyFont="1" applyFill="1" applyBorder="1" applyAlignment="1">
      <alignment horizontal="center" vertical="center"/>
    </xf>
    <xf numFmtId="49" fontId="51" fillId="24" borderId="97" xfId="0" applyNumberFormat="1" applyFont="1" applyFill="1" applyBorder="1" applyAlignment="1">
      <alignment horizontal="center" vertical="center"/>
    </xf>
    <xf numFmtId="0" fontId="51" fillId="24" borderId="97" xfId="0" applyFont="1" applyFill="1" applyBorder="1" applyAlignment="1">
      <alignment horizontal="left" wrapText="1"/>
    </xf>
    <xf numFmtId="0" fontId="58" fillId="24" borderId="110" xfId="0" applyFont="1" applyFill="1" applyBorder="1" applyAlignment="1">
      <alignment vertical="center"/>
    </xf>
    <xf numFmtId="0" fontId="51" fillId="24" borderId="146" xfId="0" applyFont="1" applyFill="1" applyBorder="1" applyAlignment="1">
      <alignment horizontal="left" wrapText="1"/>
    </xf>
    <xf numFmtId="0" fontId="58" fillId="24" borderId="108" xfId="0" applyFont="1" applyFill="1" applyBorder="1" applyAlignment="1">
      <alignment vertical="center"/>
    </xf>
    <xf numFmtId="0" fontId="22" fillId="24" borderId="57" xfId="0" applyFont="1" applyFill="1" applyBorder="1"/>
    <xf numFmtId="0" fontId="24" fillId="9" borderId="0" xfId="0" applyFont="1" applyFill="1" applyAlignment="1">
      <alignment horizontal="left" vertical="center" wrapText="1"/>
    </xf>
    <xf numFmtId="0" fontId="23" fillId="5" borderId="109" xfId="0" applyFont="1" applyFill="1" applyBorder="1"/>
    <xf numFmtId="0" fontId="1" fillId="5" borderId="109" xfId="0" applyFont="1" applyFill="1" applyBorder="1"/>
    <xf numFmtId="0" fontId="31" fillId="5" borderId="109" xfId="0" applyFont="1" applyFill="1" applyBorder="1"/>
    <xf numFmtId="0" fontId="31" fillId="5" borderId="100" xfId="0" applyFont="1" applyFill="1" applyBorder="1"/>
    <xf numFmtId="0" fontId="32" fillId="26" borderId="153" xfId="0" applyFont="1" applyFill="1" applyBorder="1"/>
    <xf numFmtId="0" fontId="31" fillId="26" borderId="151" xfId="0" applyFont="1" applyFill="1" applyBorder="1"/>
    <xf numFmtId="0" fontId="58" fillId="24" borderId="0" xfId="0" applyFont="1" applyFill="1" applyAlignment="1">
      <alignment vertical="center"/>
    </xf>
    <xf numFmtId="0" fontId="23" fillId="5" borderId="154" xfId="0" applyFont="1" applyFill="1" applyBorder="1" applyAlignment="1">
      <alignment horizontal="left" vertical="center" wrapText="1"/>
    </xf>
    <xf numFmtId="0" fontId="23" fillId="5" borderId="155" xfId="0" applyFont="1" applyFill="1" applyBorder="1" applyAlignment="1">
      <alignment horizontal="left" vertical="center" wrapText="1"/>
    </xf>
    <xf numFmtId="0" fontId="52" fillId="5" borderId="56" xfId="0" applyFont="1" applyFill="1" applyBorder="1" applyAlignment="1">
      <alignment horizontal="left" vertical="center" wrapText="1"/>
    </xf>
    <xf numFmtId="0" fontId="52" fillId="5" borderId="0" xfId="0" applyFont="1" applyFill="1" applyAlignment="1">
      <alignment horizontal="left" vertical="center" wrapText="1"/>
    </xf>
    <xf numFmtId="0" fontId="52" fillId="5" borderId="57" xfId="0" applyFont="1" applyFill="1" applyBorder="1" applyAlignment="1">
      <alignment horizontal="center" vertical="center"/>
    </xf>
    <xf numFmtId="0" fontId="52" fillId="26" borderId="151" xfId="0" applyFont="1" applyFill="1" applyBorder="1" applyAlignment="1">
      <alignment horizontal="center" vertical="center"/>
    </xf>
    <xf numFmtId="0" fontId="58" fillId="24" borderId="67" xfId="0" applyFont="1" applyFill="1" applyBorder="1" applyAlignment="1">
      <alignment vertical="center"/>
    </xf>
    <xf numFmtId="0" fontId="41" fillId="14" borderId="159" xfId="0" applyFont="1" applyFill="1" applyBorder="1" applyAlignment="1">
      <alignment vertical="center"/>
    </xf>
    <xf numFmtId="0" fontId="32" fillId="14" borderId="146" xfId="0" applyFont="1" applyFill="1" applyBorder="1"/>
    <xf numFmtId="0" fontId="31" fillId="14" borderId="146" xfId="0" applyFont="1" applyFill="1" applyBorder="1"/>
    <xf numFmtId="0" fontId="31" fillId="14" borderId="150" xfId="0" applyFont="1" applyFill="1" applyBorder="1"/>
    <xf numFmtId="0" fontId="52" fillId="25" borderId="71" xfId="0" applyFont="1" applyFill="1" applyBorder="1"/>
    <xf numFmtId="0" fontId="53" fillId="25" borderId="71" xfId="0" applyFont="1" applyFill="1" applyBorder="1"/>
    <xf numFmtId="0" fontId="53" fillId="25" borderId="55" xfId="0" applyFont="1" applyFill="1" applyBorder="1"/>
    <xf numFmtId="0" fontId="57" fillId="25" borderId="71" xfId="0" applyFont="1" applyFill="1" applyBorder="1" applyAlignment="1">
      <alignment vertical="center"/>
    </xf>
    <xf numFmtId="0" fontId="53" fillId="14" borderId="151" xfId="0" applyFont="1" applyFill="1" applyBorder="1"/>
    <xf numFmtId="0" fontId="71" fillId="0" borderId="0" xfId="0" applyFont="1"/>
    <xf numFmtId="0" fontId="72" fillId="0" borderId="0" xfId="0" applyFont="1" applyAlignment="1">
      <alignment horizontal="left"/>
    </xf>
    <xf numFmtId="0" fontId="24" fillId="9" borderId="161" xfId="0" applyFont="1" applyFill="1" applyBorder="1" applyAlignment="1">
      <alignment vertical="center" wrapText="1"/>
    </xf>
    <xf numFmtId="0" fontId="31" fillId="17" borderId="0" xfId="0" applyFont="1" applyFill="1"/>
    <xf numFmtId="0" fontId="0" fillId="17" borderId="104" xfId="0" applyFill="1" applyBorder="1"/>
    <xf numFmtId="0" fontId="76" fillId="13" borderId="105" xfId="0" applyFont="1" applyFill="1" applyBorder="1" applyAlignment="1">
      <alignment vertical="center"/>
    </xf>
    <xf numFmtId="0" fontId="77" fillId="13" borderId="109" xfId="0" applyFont="1" applyFill="1" applyBorder="1"/>
    <xf numFmtId="0" fontId="55" fillId="13" borderId="100" xfId="0" applyFont="1" applyFill="1" applyBorder="1"/>
    <xf numFmtId="0" fontId="57" fillId="25" borderId="105" xfId="0" applyFont="1" applyFill="1" applyBorder="1" applyAlignment="1">
      <alignment vertical="center"/>
    </xf>
    <xf numFmtId="0" fontId="52" fillId="25" borderId="109" xfId="0" applyFont="1" applyFill="1" applyBorder="1"/>
    <xf numFmtId="0" fontId="52" fillId="25" borderId="100" xfId="0" applyFont="1" applyFill="1" applyBorder="1"/>
    <xf numFmtId="0" fontId="31" fillId="17" borderId="105" xfId="0" applyFont="1" applyFill="1" applyBorder="1"/>
    <xf numFmtId="0" fontId="0" fillId="17" borderId="109" xfId="0" applyFill="1" applyBorder="1"/>
    <xf numFmtId="0" fontId="0" fillId="17" borderId="100" xfId="0" applyFill="1" applyBorder="1"/>
    <xf numFmtId="0" fontId="52" fillId="25" borderId="107" xfId="0" applyFont="1" applyFill="1" applyBorder="1"/>
    <xf numFmtId="0" fontId="52" fillId="25" borderId="99" xfId="0" applyFont="1" applyFill="1" applyBorder="1"/>
    <xf numFmtId="0" fontId="31" fillId="17" borderId="106" xfId="0" applyFont="1" applyFill="1" applyBorder="1"/>
    <xf numFmtId="0" fontId="0" fillId="5" borderId="105" xfId="0" applyFill="1" applyBorder="1"/>
    <xf numFmtId="0" fontId="54" fillId="5" borderId="106" xfId="0" applyFont="1" applyFill="1" applyBorder="1"/>
    <xf numFmtId="0" fontId="0" fillId="5" borderId="98" xfId="0" applyFill="1" applyBorder="1"/>
    <xf numFmtId="0" fontId="54" fillId="5" borderId="110" xfId="0" applyFont="1" applyFill="1" applyBorder="1"/>
    <xf numFmtId="0" fontId="61" fillId="24" borderId="168" xfId="0" applyFont="1" applyFill="1" applyBorder="1" applyAlignment="1">
      <alignment vertical="center"/>
    </xf>
    <xf numFmtId="0" fontId="58" fillId="24" borderId="169" xfId="0" applyFont="1" applyFill="1" applyBorder="1" applyAlignment="1">
      <alignment horizontal="center" vertical="center"/>
    </xf>
    <xf numFmtId="0" fontId="58" fillId="24" borderId="170" xfId="0" applyFont="1" applyFill="1" applyBorder="1" applyAlignment="1">
      <alignment horizontal="center" vertical="center"/>
    </xf>
    <xf numFmtId="0" fontId="65" fillId="24" borderId="139" xfId="0" applyFont="1" applyFill="1" applyBorder="1" applyAlignment="1">
      <alignment horizontal="left" wrapText="1"/>
    </xf>
    <xf numFmtId="49" fontId="51" fillId="24" borderId="115" xfId="0" applyNumberFormat="1" applyFont="1" applyFill="1" applyBorder="1" applyAlignment="1">
      <alignment horizontal="center" vertical="center"/>
    </xf>
    <xf numFmtId="0" fontId="79" fillId="5" borderId="0" xfId="1" applyFont="1" applyFill="1">
      <alignment vertical="center"/>
    </xf>
    <xf numFmtId="0" fontId="0" fillId="0" borderId="0" xfId="0" applyAlignment="1">
      <alignment horizontal="right"/>
    </xf>
    <xf numFmtId="0" fontId="80" fillId="25" borderId="0" xfId="0" applyFont="1" applyFill="1"/>
    <xf numFmtId="0" fontId="2" fillId="25" borderId="0" xfId="0" applyFont="1" applyFill="1"/>
    <xf numFmtId="0" fontId="2" fillId="25" borderId="0" xfId="0" applyFont="1" applyFill="1" applyAlignment="1">
      <alignment horizontal="right"/>
    </xf>
    <xf numFmtId="0" fontId="81" fillId="9" borderId="87" xfId="0" applyFont="1" applyFill="1" applyBorder="1" applyAlignment="1">
      <alignment horizontal="center" vertical="center" wrapText="1"/>
    </xf>
    <xf numFmtId="0" fontId="81" fillId="9" borderId="175" xfId="0" applyFont="1" applyFill="1" applyBorder="1" applyAlignment="1">
      <alignment horizontal="center" vertical="center" wrapText="1"/>
    </xf>
    <xf numFmtId="0" fontId="82" fillId="20" borderId="142" xfId="0" applyFont="1" applyFill="1" applyBorder="1" applyAlignment="1">
      <alignment vertical="center" wrapText="1"/>
    </xf>
    <xf numFmtId="6" fontId="82" fillId="28" borderId="142" xfId="0" applyNumberFormat="1" applyFont="1" applyFill="1" applyBorder="1" applyAlignment="1">
      <alignment horizontal="center" vertical="center" wrapText="1"/>
    </xf>
    <xf numFmtId="0" fontId="82" fillId="20" borderId="87" xfId="0" applyFont="1" applyFill="1" applyBorder="1" applyAlignment="1">
      <alignment vertical="center" wrapText="1"/>
    </xf>
    <xf numFmtId="6" fontId="82" fillId="28" borderId="87" xfId="0" applyNumberFormat="1" applyFont="1" applyFill="1" applyBorder="1" applyAlignment="1">
      <alignment horizontal="center" vertical="center" wrapText="1"/>
    </xf>
    <xf numFmtId="6" fontId="0" fillId="0" borderId="0" xfId="0" applyNumberFormat="1"/>
    <xf numFmtId="8" fontId="82" fillId="28" borderId="87" xfId="0" applyNumberFormat="1" applyFont="1" applyFill="1" applyBorder="1" applyAlignment="1">
      <alignment horizontal="center" vertical="center" wrapText="1"/>
    </xf>
    <xf numFmtId="10" fontId="82" fillId="4" borderId="87" xfId="0" applyNumberFormat="1" applyFont="1" applyFill="1" applyBorder="1" applyAlignment="1">
      <alignment horizontal="center" vertical="center" wrapText="1"/>
    </xf>
    <xf numFmtId="10" fontId="82" fillId="28" borderId="87" xfId="0" applyNumberFormat="1" applyFont="1" applyFill="1" applyBorder="1" applyAlignment="1">
      <alignment horizontal="center" vertical="center" wrapText="1"/>
    </xf>
    <xf numFmtId="8" fontId="82" fillId="4" borderId="87" xfId="0" applyNumberFormat="1" applyFont="1" applyFill="1" applyBorder="1" applyAlignment="1">
      <alignment horizontal="center" vertical="center" wrapText="1"/>
    </xf>
    <xf numFmtId="0" fontId="83" fillId="20" borderId="87" xfId="0" applyFont="1" applyFill="1" applyBorder="1" applyAlignment="1">
      <alignment vertical="center" wrapText="1"/>
    </xf>
    <xf numFmtId="10" fontId="82" fillId="28" borderId="87" xfId="13" applyNumberFormat="1" applyFont="1" applyFill="1" applyBorder="1" applyAlignment="1">
      <alignment horizontal="center" vertical="center" wrapText="1"/>
    </xf>
    <xf numFmtId="14" fontId="82" fillId="28" borderId="87" xfId="13" applyNumberFormat="1" applyFont="1" applyFill="1" applyBorder="1" applyAlignment="1">
      <alignment horizontal="center" vertical="center" wrapText="1"/>
    </xf>
    <xf numFmtId="0" fontId="82" fillId="20" borderId="91" xfId="0" applyFont="1" applyFill="1" applyBorder="1" applyAlignment="1">
      <alignment vertical="center" wrapText="1"/>
    </xf>
    <xf numFmtId="10" fontId="82" fillId="28" borderId="176" xfId="13" applyNumberFormat="1" applyFont="1" applyFill="1" applyBorder="1" applyAlignment="1">
      <alignment horizontal="center" vertical="center" wrapText="1"/>
    </xf>
    <xf numFmtId="0" fontId="0" fillId="29" borderId="128" xfId="0" applyFill="1" applyBorder="1"/>
    <xf numFmtId="0" fontId="0" fillId="29" borderId="124" xfId="0" applyFill="1" applyBorder="1"/>
    <xf numFmtId="0" fontId="0" fillId="29" borderId="165" xfId="0" applyFill="1" applyBorder="1" applyAlignment="1">
      <alignment horizontal="right"/>
    </xf>
    <xf numFmtId="0" fontId="24" fillId="5" borderId="122" xfId="0" applyFont="1" applyFill="1" applyBorder="1" applyAlignment="1">
      <alignment horizontal="left" vertical="center" wrapText="1"/>
    </xf>
    <xf numFmtId="0" fontId="0" fillId="18" borderId="0" xfId="0" applyFill="1"/>
    <xf numFmtId="0" fontId="17" fillId="0" borderId="0" xfId="9" applyFill="1" applyAlignment="1"/>
    <xf numFmtId="0" fontId="90" fillId="0" borderId="0" xfId="0" applyFont="1"/>
    <xf numFmtId="0" fontId="58" fillId="24" borderId="0" xfId="0" applyFont="1" applyFill="1" applyAlignment="1">
      <alignment horizontal="center" vertical="center" wrapText="1"/>
    </xf>
    <xf numFmtId="0" fontId="57" fillId="9" borderId="98" xfId="0" applyFont="1" applyFill="1" applyBorder="1" applyAlignment="1">
      <alignment horizontal="center" vertical="center" wrapText="1"/>
    </xf>
    <xf numFmtId="0" fontId="58" fillId="24" borderId="109" xfId="0" applyFont="1" applyFill="1" applyBorder="1" applyAlignment="1">
      <alignment horizontal="center" vertical="center" wrapText="1"/>
    </xf>
    <xf numFmtId="0" fontId="53" fillId="14" borderId="0" xfId="0" applyFont="1" applyFill="1"/>
    <xf numFmtId="0" fontId="57" fillId="9" borderId="87" xfId="0" applyFont="1" applyFill="1" applyBorder="1" applyAlignment="1">
      <alignment horizontal="center" vertical="center" wrapText="1"/>
    </xf>
    <xf numFmtId="0" fontId="41" fillId="30" borderId="178" xfId="0" applyFont="1" applyFill="1" applyBorder="1" applyAlignment="1">
      <alignment horizontal="center"/>
    </xf>
    <xf numFmtId="0" fontId="41" fillId="21" borderId="178" xfId="0" applyFont="1" applyFill="1" applyBorder="1"/>
    <xf numFmtId="0" fontId="17" fillId="0" borderId="179" xfId="9" applyBorder="1"/>
    <xf numFmtId="0" fontId="0" fillId="18" borderId="180" xfId="0" applyFill="1" applyBorder="1"/>
    <xf numFmtId="0" fontId="0" fillId="5" borderId="180" xfId="0" applyFill="1" applyBorder="1"/>
    <xf numFmtId="0" fontId="41" fillId="0" borderId="180" xfId="0" applyFont="1" applyBorder="1" applyAlignment="1">
      <alignment horizontal="center"/>
    </xf>
    <xf numFmtId="0" fontId="0" fillId="0" borderId="180" xfId="0" applyBorder="1"/>
    <xf numFmtId="0" fontId="0" fillId="0" borderId="180" xfId="0" applyBorder="1" applyAlignment="1">
      <alignment horizontal="center"/>
    </xf>
    <xf numFmtId="0" fontId="58" fillId="24" borderId="91" xfId="0" applyFont="1" applyFill="1" applyBorder="1" applyAlignment="1">
      <alignment horizontal="center" vertical="center" wrapText="1"/>
    </xf>
    <xf numFmtId="0" fontId="0" fillId="16" borderId="56" xfId="0" applyFill="1" applyBorder="1" applyAlignment="1">
      <alignment horizontal="center"/>
    </xf>
    <xf numFmtId="167" fontId="0" fillId="16" borderId="63" xfId="0" applyNumberFormat="1" applyFill="1" applyBorder="1"/>
    <xf numFmtId="0" fontId="0" fillId="0" borderId="0" xfId="0" applyAlignment="1">
      <alignment horizontal="center"/>
    </xf>
    <xf numFmtId="0" fontId="41" fillId="30" borderId="178" xfId="0" applyFont="1" applyFill="1" applyBorder="1" applyAlignment="1">
      <alignment horizontal="center" vertical="center"/>
    </xf>
    <xf numFmtId="0" fontId="41" fillId="21" borderId="178" xfId="0" applyFont="1" applyFill="1" applyBorder="1" applyAlignment="1">
      <alignment horizontal="left" vertical="center"/>
    </xf>
    <xf numFmtId="0" fontId="1" fillId="15" borderId="62" xfId="0" applyFont="1" applyFill="1" applyBorder="1" applyAlignment="1">
      <alignment horizontal="center" vertical="center" wrapText="1"/>
    </xf>
    <xf numFmtId="0" fontId="1" fillId="15" borderId="64" xfId="0" applyFont="1" applyFill="1" applyBorder="1" applyAlignment="1">
      <alignment horizontal="center" vertical="center" wrapText="1"/>
    </xf>
    <xf numFmtId="0" fontId="15" fillId="12" borderId="180" xfId="0" applyFont="1" applyFill="1" applyBorder="1" applyAlignment="1">
      <alignment horizontal="left" wrapText="1"/>
    </xf>
    <xf numFmtId="0" fontId="15" fillId="12" borderId="68" xfId="0" applyFont="1" applyFill="1" applyBorder="1" applyAlignment="1">
      <alignment horizontal="left" wrapText="1"/>
    </xf>
    <xf numFmtId="0" fontId="15" fillId="12" borderId="69" xfId="0" applyFont="1" applyFill="1" applyBorder="1" applyAlignment="1">
      <alignment horizontal="left" wrapText="1"/>
    </xf>
    <xf numFmtId="0" fontId="15" fillId="12" borderId="59" xfId="0" applyFont="1" applyFill="1" applyBorder="1" applyAlignment="1">
      <alignment horizontal="left" wrapText="1"/>
    </xf>
    <xf numFmtId="0" fontId="1" fillId="9" borderId="68" xfId="0" applyFont="1" applyFill="1" applyBorder="1" applyAlignment="1">
      <alignment horizontal="center"/>
    </xf>
    <xf numFmtId="0" fontId="1" fillId="9" borderId="59" xfId="0" applyFont="1" applyFill="1" applyBorder="1" applyAlignment="1">
      <alignment horizontal="center"/>
    </xf>
    <xf numFmtId="49" fontId="17" fillId="12" borderId="62" xfId="9" applyNumberFormat="1" applyFill="1" applyBorder="1" applyAlignment="1">
      <alignment horizontal="center" vertical="center" textRotation="255"/>
    </xf>
    <xf numFmtId="49" fontId="17" fillId="12" borderId="63" xfId="9" applyNumberFormat="1" applyFill="1" applyBorder="1" applyAlignment="1">
      <alignment horizontal="center" vertical="center" textRotation="255"/>
    </xf>
    <xf numFmtId="0" fontId="1" fillId="15" borderId="54" xfId="0" applyFont="1" applyFill="1" applyBorder="1" applyAlignment="1">
      <alignment horizontal="center" wrapText="1"/>
    </xf>
    <xf numFmtId="0" fontId="1" fillId="15" borderId="56" xfId="0" applyFont="1" applyFill="1" applyBorder="1" applyAlignment="1">
      <alignment horizontal="center" wrapText="1"/>
    </xf>
    <xf numFmtId="0" fontId="0" fillId="31" borderId="180" xfId="0" applyFill="1" applyBorder="1" applyAlignment="1">
      <alignment horizontal="center"/>
    </xf>
    <xf numFmtId="0" fontId="24" fillId="12" borderId="0" xfId="0" applyFont="1" applyFill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1" fillId="9" borderId="54" xfId="0" applyFont="1" applyFill="1" applyBorder="1" applyAlignment="1">
      <alignment horizontal="center" vertical="center" wrapText="1"/>
    </xf>
    <xf numFmtId="0" fontId="1" fillId="9" borderId="55" xfId="0" applyFont="1" applyFill="1" applyBorder="1" applyAlignment="1">
      <alignment horizontal="center" vertical="center" wrapText="1"/>
    </xf>
    <xf numFmtId="0" fontId="1" fillId="9" borderId="56" xfId="0" applyFont="1" applyFill="1" applyBorder="1" applyAlignment="1">
      <alignment horizontal="center" vertical="center" wrapText="1"/>
    </xf>
    <xf numFmtId="0" fontId="1" fillId="9" borderId="57" xfId="0" applyFont="1" applyFill="1" applyBorder="1" applyAlignment="1">
      <alignment horizontal="center" vertical="center" wrapText="1"/>
    </xf>
    <xf numFmtId="0" fontId="1" fillId="9" borderId="60" xfId="0" applyFont="1" applyFill="1" applyBorder="1" applyAlignment="1">
      <alignment horizontal="center" vertical="center" wrapText="1"/>
    </xf>
    <xf numFmtId="0" fontId="1" fillId="9" borderId="61" xfId="0" applyFont="1" applyFill="1" applyBorder="1" applyAlignment="1">
      <alignment horizontal="center" vertical="center" wrapText="1"/>
    </xf>
    <xf numFmtId="0" fontId="87" fillId="12" borderId="180" xfId="0" applyFont="1" applyFill="1" applyBorder="1" applyAlignment="1">
      <alignment horizontal="left" vertical="center" wrapText="1"/>
    </xf>
    <xf numFmtId="0" fontId="87" fillId="12" borderId="181" xfId="0" applyFont="1" applyFill="1" applyBorder="1" applyAlignment="1">
      <alignment horizontal="left" vertical="center" wrapText="1"/>
    </xf>
    <xf numFmtId="0" fontId="1" fillId="15" borderId="71" xfId="0" applyFont="1" applyFill="1" applyBorder="1" applyAlignment="1">
      <alignment horizontal="center" wrapText="1"/>
    </xf>
    <xf numFmtId="0" fontId="1" fillId="15" borderId="0" xfId="0" applyFont="1" applyFill="1" applyAlignment="1">
      <alignment horizontal="center" wrapText="1"/>
    </xf>
    <xf numFmtId="0" fontId="0" fillId="0" borderId="180" xfId="0" applyBorder="1" applyAlignment="1">
      <alignment horizontal="center"/>
    </xf>
    <xf numFmtId="0" fontId="0" fillId="0" borderId="71" xfId="0" applyBorder="1" applyAlignment="1">
      <alignment horizontal="center"/>
    </xf>
    <xf numFmtId="49" fontId="17" fillId="12" borderId="64" xfId="9" applyNumberFormat="1" applyFill="1" applyBorder="1" applyAlignment="1">
      <alignment horizontal="center" vertical="center" textRotation="255"/>
    </xf>
    <xf numFmtId="0" fontId="38" fillId="13" borderId="54" xfId="0" applyFont="1" applyFill="1" applyBorder="1" applyAlignment="1">
      <alignment horizontal="center" vertical="center" wrapText="1"/>
    </xf>
    <xf numFmtId="0" fontId="38" fillId="13" borderId="55" xfId="0" applyFont="1" applyFill="1" applyBorder="1" applyAlignment="1">
      <alignment horizontal="center" vertical="center" wrapText="1"/>
    </xf>
    <xf numFmtId="0" fontId="38" fillId="13" borderId="56" xfId="0" applyFont="1" applyFill="1" applyBorder="1" applyAlignment="1">
      <alignment horizontal="center" vertical="center" wrapText="1"/>
    </xf>
    <xf numFmtId="0" fontId="38" fillId="13" borderId="57" xfId="0" applyFont="1" applyFill="1" applyBorder="1" applyAlignment="1">
      <alignment horizontal="center" vertical="center" wrapText="1"/>
    </xf>
    <xf numFmtId="0" fontId="38" fillId="13" borderId="60" xfId="0" applyFont="1" applyFill="1" applyBorder="1" applyAlignment="1">
      <alignment horizontal="center" vertical="center" wrapText="1"/>
    </xf>
    <xf numFmtId="0" fontId="38" fillId="13" borderId="61" xfId="0" applyFont="1" applyFill="1" applyBorder="1" applyAlignment="1">
      <alignment horizontal="center" vertical="center" wrapText="1"/>
    </xf>
    <xf numFmtId="0" fontId="88" fillId="12" borderId="54" xfId="0" applyFont="1" applyFill="1" applyBorder="1" applyAlignment="1">
      <alignment horizontal="center" vertical="center" wrapText="1"/>
    </xf>
    <xf numFmtId="0" fontId="88" fillId="12" borderId="55" xfId="0" applyFont="1" applyFill="1" applyBorder="1" applyAlignment="1">
      <alignment horizontal="center" vertical="center" wrapText="1"/>
    </xf>
    <xf numFmtId="0" fontId="88" fillId="12" borderId="56" xfId="0" applyFont="1" applyFill="1" applyBorder="1" applyAlignment="1">
      <alignment horizontal="center" vertical="center" wrapText="1"/>
    </xf>
    <xf numFmtId="0" fontId="88" fillId="12" borderId="57" xfId="0" applyFont="1" applyFill="1" applyBorder="1" applyAlignment="1">
      <alignment horizontal="center" vertical="center" wrapText="1"/>
    </xf>
    <xf numFmtId="0" fontId="88" fillId="12" borderId="60" xfId="0" applyFont="1" applyFill="1" applyBorder="1" applyAlignment="1">
      <alignment horizontal="center" vertical="center" wrapText="1"/>
    </xf>
    <xf numFmtId="0" fontId="88" fillId="12" borderId="61" xfId="0" applyFont="1" applyFill="1" applyBorder="1" applyAlignment="1">
      <alignment horizontal="center" vertical="center" wrapText="1"/>
    </xf>
    <xf numFmtId="16" fontId="39" fillId="4" borderId="54" xfId="0" applyNumberFormat="1" applyFont="1" applyFill="1" applyBorder="1" applyAlignment="1">
      <alignment horizontal="center"/>
    </xf>
    <xf numFmtId="16" fontId="39" fillId="4" borderId="55" xfId="0" applyNumberFormat="1" applyFont="1" applyFill="1" applyBorder="1" applyAlignment="1">
      <alignment horizontal="center"/>
    </xf>
    <xf numFmtId="16" fontId="39" fillId="4" borderId="56" xfId="0" applyNumberFormat="1" applyFont="1" applyFill="1" applyBorder="1" applyAlignment="1">
      <alignment horizontal="center"/>
    </xf>
    <xf numFmtId="16" fontId="39" fillId="4" borderId="57" xfId="0" applyNumberFormat="1" applyFont="1" applyFill="1" applyBorder="1" applyAlignment="1">
      <alignment horizontal="center"/>
    </xf>
    <xf numFmtId="16" fontId="39" fillId="4" borderId="60" xfId="0" applyNumberFormat="1" applyFont="1" applyFill="1" applyBorder="1" applyAlignment="1">
      <alignment horizontal="center"/>
    </xf>
    <xf numFmtId="16" fontId="39" fillId="4" borderId="61" xfId="0" applyNumberFormat="1" applyFont="1" applyFill="1" applyBorder="1" applyAlignment="1">
      <alignment horizontal="center"/>
    </xf>
    <xf numFmtId="0" fontId="88" fillId="12" borderId="180" xfId="0" applyFont="1" applyFill="1" applyBorder="1" applyAlignment="1">
      <alignment horizontal="left" vertical="center" wrapText="1"/>
    </xf>
    <xf numFmtId="0" fontId="88" fillId="12" borderId="54" xfId="0" applyFont="1" applyFill="1" applyBorder="1" applyAlignment="1">
      <alignment horizontal="left" vertical="center" wrapText="1"/>
    </xf>
    <xf numFmtId="0" fontId="88" fillId="12" borderId="71" xfId="0" applyFont="1" applyFill="1" applyBorder="1" applyAlignment="1">
      <alignment horizontal="left" vertical="center" wrapText="1"/>
    </xf>
    <xf numFmtId="0" fontId="88" fillId="12" borderId="55" xfId="0" applyFont="1" applyFill="1" applyBorder="1" applyAlignment="1">
      <alignment horizontal="left" vertical="center" wrapText="1"/>
    </xf>
    <xf numFmtId="0" fontId="88" fillId="12" borderId="56" xfId="0" applyFont="1" applyFill="1" applyBorder="1" applyAlignment="1">
      <alignment horizontal="left" vertical="center" wrapText="1"/>
    </xf>
    <xf numFmtId="0" fontId="88" fillId="12" borderId="0" xfId="0" applyFont="1" applyFill="1" applyAlignment="1">
      <alignment horizontal="left" vertical="center" wrapText="1"/>
    </xf>
    <xf numFmtId="0" fontId="88" fillId="12" borderId="57" xfId="0" applyFont="1" applyFill="1" applyBorder="1" applyAlignment="1">
      <alignment horizontal="left" vertical="center" wrapText="1"/>
    </xf>
    <xf numFmtId="0" fontId="88" fillId="12" borderId="60" xfId="0" applyFont="1" applyFill="1" applyBorder="1" applyAlignment="1">
      <alignment horizontal="left" vertical="center" wrapText="1"/>
    </xf>
    <xf numFmtId="0" fontId="88" fillId="12" borderId="67" xfId="0" applyFont="1" applyFill="1" applyBorder="1" applyAlignment="1">
      <alignment horizontal="left" vertical="center" wrapText="1"/>
    </xf>
    <xf numFmtId="0" fontId="88" fillId="12" borderId="61" xfId="0" applyFont="1" applyFill="1" applyBorder="1" applyAlignment="1">
      <alignment horizontal="left" vertical="center" wrapText="1"/>
    </xf>
    <xf numFmtId="0" fontId="0" fillId="20" borderId="180" xfId="0" applyFill="1" applyBorder="1" applyAlignment="1">
      <alignment horizontal="center"/>
    </xf>
    <xf numFmtId="0" fontId="88" fillId="10" borderId="180" xfId="0" applyFont="1" applyFill="1" applyBorder="1" applyAlignment="1">
      <alignment horizontal="left" vertical="center" wrapText="1"/>
    </xf>
    <xf numFmtId="16" fontId="39" fillId="12" borderId="180" xfId="0" applyNumberFormat="1" applyFont="1" applyFill="1" applyBorder="1" applyAlignment="1">
      <alignment horizontal="center"/>
    </xf>
    <xf numFmtId="0" fontId="57" fillId="25" borderId="177" xfId="0" applyFont="1" applyFill="1" applyBorder="1" applyAlignment="1">
      <alignment horizontal="left"/>
    </xf>
    <xf numFmtId="0" fontId="52" fillId="9" borderId="100" xfId="0" applyFont="1" applyFill="1" applyBorder="1" applyAlignment="1">
      <alignment horizontal="center" vertical="center" wrapText="1"/>
    </xf>
    <xf numFmtId="0" fontId="52" fillId="9" borderId="111" xfId="0" applyFont="1" applyFill="1" applyBorder="1" applyAlignment="1">
      <alignment horizontal="center" vertical="center" wrapText="1"/>
    </xf>
    <xf numFmtId="0" fontId="52" fillId="9" borderId="91" xfId="0" applyFont="1" applyFill="1" applyBorder="1" applyAlignment="1">
      <alignment horizontal="center" vertical="center" wrapText="1"/>
    </xf>
    <xf numFmtId="0" fontId="52" fillId="9" borderId="142" xfId="0" applyFont="1" applyFill="1" applyBorder="1" applyAlignment="1">
      <alignment horizontal="center" vertical="center" wrapText="1"/>
    </xf>
    <xf numFmtId="0" fontId="52" fillId="9" borderId="104" xfId="0" applyFont="1" applyFill="1" applyBorder="1" applyAlignment="1">
      <alignment horizontal="center" vertical="center" wrapText="1"/>
    </xf>
    <xf numFmtId="0" fontId="52" fillId="9" borderId="141" xfId="0" applyFont="1" applyFill="1" applyBorder="1" applyAlignment="1">
      <alignment horizontal="center" vertical="center" wrapText="1"/>
    </xf>
    <xf numFmtId="0" fontId="0" fillId="30" borderId="180" xfId="0" applyFill="1" applyBorder="1" applyAlignment="1">
      <alignment horizontal="center"/>
    </xf>
    <xf numFmtId="0" fontId="1" fillId="15" borderId="62" xfId="0" applyFont="1" applyFill="1" applyBorder="1" applyAlignment="1">
      <alignment horizontal="center" wrapText="1"/>
    </xf>
    <xf numFmtId="0" fontId="1" fillId="15" borderId="64" xfId="0" applyFont="1" applyFill="1" applyBorder="1" applyAlignment="1">
      <alignment horizontal="center" wrapText="1"/>
    </xf>
    <xf numFmtId="0" fontId="0" fillId="18" borderId="180" xfId="0" applyFill="1" applyBorder="1" applyAlignment="1">
      <alignment horizontal="center"/>
    </xf>
    <xf numFmtId="0" fontId="32" fillId="13" borderId="0" xfId="0" applyFont="1" applyFill="1" applyAlignment="1">
      <alignment horizontal="center" vertical="center" wrapText="1"/>
    </xf>
    <xf numFmtId="0" fontId="24" fillId="9" borderId="84" xfId="0" applyFont="1" applyFill="1" applyBorder="1" applyAlignment="1">
      <alignment horizontal="center" vertical="center" wrapText="1"/>
    </xf>
    <xf numFmtId="0" fontId="24" fillId="9" borderId="0" xfId="0" applyFont="1" applyFill="1" applyAlignment="1">
      <alignment horizontal="center" vertical="center" wrapText="1"/>
    </xf>
    <xf numFmtId="0" fontId="24" fillId="9" borderId="85" xfId="0" applyFont="1" applyFill="1" applyBorder="1" applyAlignment="1">
      <alignment horizontal="center" vertical="center" wrapText="1"/>
    </xf>
    <xf numFmtId="0" fontId="38" fillId="13" borderId="180" xfId="0" applyFont="1" applyFill="1" applyBorder="1" applyAlignment="1">
      <alignment horizontal="center" vertical="center" wrapText="1"/>
    </xf>
    <xf numFmtId="0" fontId="38" fillId="19" borderId="0" xfId="0" applyFont="1" applyFill="1" applyAlignment="1">
      <alignment horizontal="center" vertical="center" wrapText="1"/>
    </xf>
    <xf numFmtId="0" fontId="0" fillId="12" borderId="180" xfId="0" applyFill="1" applyBorder="1" applyAlignment="1">
      <alignment horizontal="center"/>
    </xf>
    <xf numFmtId="0" fontId="17" fillId="18" borderId="0" xfId="9" applyFill="1" applyAlignment="1">
      <alignment horizontal="center" vertical="center" wrapText="1"/>
    </xf>
    <xf numFmtId="0" fontId="1" fillId="18" borderId="0" xfId="0" applyFont="1" applyFill="1" applyAlignment="1">
      <alignment horizontal="center" vertical="center" wrapText="1"/>
    </xf>
    <xf numFmtId="0" fontId="1" fillId="9" borderId="7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67" xfId="0" applyFont="1" applyFill="1" applyBorder="1" applyAlignment="1">
      <alignment horizontal="center" vertical="center" wrapText="1"/>
    </xf>
    <xf numFmtId="0" fontId="89" fillId="17" borderId="180" xfId="9" applyFont="1" applyFill="1" applyBorder="1" applyAlignment="1">
      <alignment horizontal="center" vertical="center"/>
    </xf>
    <xf numFmtId="0" fontId="31" fillId="17" borderId="180" xfId="0" applyFont="1" applyFill="1" applyBorder="1" applyAlignment="1">
      <alignment horizontal="center" vertical="center"/>
    </xf>
    <xf numFmtId="0" fontId="0" fillId="16" borderId="54" xfId="0" applyFill="1" applyBorder="1" applyAlignment="1">
      <alignment vertical="center" wrapText="1"/>
    </xf>
    <xf numFmtId="0" fontId="0" fillId="16" borderId="55" xfId="0" applyFill="1" applyBorder="1" applyAlignment="1">
      <alignment vertical="center" wrapText="1"/>
    </xf>
    <xf numFmtId="0" fontId="0" fillId="16" borderId="56" xfId="0" applyFill="1" applyBorder="1" applyAlignment="1">
      <alignment vertical="center" wrapText="1"/>
    </xf>
    <xf numFmtId="0" fontId="0" fillId="16" borderId="57" xfId="0" applyFill="1" applyBorder="1" applyAlignment="1">
      <alignment vertical="center" wrapText="1"/>
    </xf>
    <xf numFmtId="0" fontId="0" fillId="16" borderId="60" xfId="0" applyFill="1" applyBorder="1" applyAlignment="1">
      <alignment vertical="center" wrapText="1"/>
    </xf>
    <xf numFmtId="0" fontId="0" fillId="16" borderId="61" xfId="0" applyFill="1" applyBorder="1" applyAlignment="1">
      <alignment vertical="center" wrapText="1"/>
    </xf>
    <xf numFmtId="0" fontId="0" fillId="16" borderId="54" xfId="0" applyFill="1" applyBorder="1" applyAlignment="1">
      <alignment horizontal="left" vertical="center" wrapText="1"/>
    </xf>
    <xf numFmtId="0" fontId="0" fillId="16" borderId="55" xfId="0" applyFill="1" applyBorder="1" applyAlignment="1">
      <alignment horizontal="left" vertical="center" wrapText="1"/>
    </xf>
    <xf numFmtId="0" fontId="0" fillId="16" borderId="56" xfId="0" applyFill="1" applyBorder="1" applyAlignment="1">
      <alignment horizontal="left" vertical="center" wrapText="1"/>
    </xf>
    <xf numFmtId="0" fontId="0" fillId="16" borderId="57" xfId="0" applyFill="1" applyBorder="1" applyAlignment="1">
      <alignment horizontal="left" vertical="center" wrapText="1"/>
    </xf>
    <xf numFmtId="0" fontId="0" fillId="16" borderId="60" xfId="0" applyFill="1" applyBorder="1" applyAlignment="1">
      <alignment horizontal="left" vertical="center" wrapText="1"/>
    </xf>
    <xf numFmtId="0" fontId="0" fillId="16" borderId="61" xfId="0" applyFill="1" applyBorder="1" applyAlignment="1">
      <alignment horizontal="left" vertical="center" wrapText="1"/>
    </xf>
    <xf numFmtId="167" fontId="0" fillId="16" borderId="54" xfId="0" applyNumberFormat="1" applyFill="1" applyBorder="1" applyAlignment="1">
      <alignment horizontal="center" vertical="center" wrapText="1"/>
    </xf>
    <xf numFmtId="167" fontId="0" fillId="16" borderId="55" xfId="0" applyNumberFormat="1" applyFill="1" applyBorder="1" applyAlignment="1">
      <alignment horizontal="center" vertical="center" wrapText="1"/>
    </xf>
    <xf numFmtId="167" fontId="0" fillId="16" borderId="56" xfId="0" applyNumberFormat="1" applyFill="1" applyBorder="1" applyAlignment="1">
      <alignment horizontal="center" vertical="center" wrapText="1"/>
    </xf>
    <xf numFmtId="167" fontId="0" fillId="16" borderId="57" xfId="0" applyNumberFormat="1" applyFill="1" applyBorder="1" applyAlignment="1">
      <alignment horizontal="center" vertical="center" wrapText="1"/>
    </xf>
    <xf numFmtId="167" fontId="0" fillId="16" borderId="60" xfId="0" applyNumberFormat="1" applyFill="1" applyBorder="1" applyAlignment="1">
      <alignment horizontal="center" vertical="center" wrapText="1"/>
    </xf>
    <xf numFmtId="167" fontId="0" fillId="16" borderId="61" xfId="0" applyNumberFormat="1" applyFill="1" applyBorder="1" applyAlignment="1">
      <alignment horizontal="center" vertical="center" wrapText="1"/>
    </xf>
    <xf numFmtId="0" fontId="0" fillId="16" borderId="54" xfId="0" applyFill="1" applyBorder="1" applyAlignment="1">
      <alignment horizontal="center" vertical="center" wrapText="1"/>
    </xf>
    <xf numFmtId="0" fontId="0" fillId="16" borderId="55" xfId="0" applyFill="1" applyBorder="1" applyAlignment="1">
      <alignment horizontal="center" vertical="center" wrapText="1"/>
    </xf>
    <xf numFmtId="0" fontId="0" fillId="16" borderId="60" xfId="0" applyFill="1" applyBorder="1" applyAlignment="1">
      <alignment horizontal="center" vertical="center" wrapText="1"/>
    </xf>
    <xf numFmtId="0" fontId="0" fillId="16" borderId="61" xfId="0" applyFill="1" applyBorder="1" applyAlignment="1">
      <alignment horizontal="center" vertical="center" wrapText="1"/>
    </xf>
    <xf numFmtId="0" fontId="0" fillId="16" borderId="56" xfId="0" applyFill="1" applyBorder="1" applyAlignment="1">
      <alignment horizontal="center" vertical="center" wrapText="1"/>
    </xf>
    <xf numFmtId="0" fontId="0" fillId="16" borderId="57" xfId="0" applyFill="1" applyBorder="1" applyAlignment="1">
      <alignment horizontal="center" vertical="center" wrapText="1"/>
    </xf>
    <xf numFmtId="0" fontId="35" fillId="21" borderId="54" xfId="0" applyFont="1" applyFill="1" applyBorder="1" applyAlignment="1">
      <alignment horizontal="left" vertical="center" wrapText="1"/>
    </xf>
    <xf numFmtId="0" fontId="35" fillId="21" borderId="55" xfId="0" applyFont="1" applyFill="1" applyBorder="1" applyAlignment="1">
      <alignment horizontal="left" vertical="center" wrapText="1"/>
    </xf>
    <xf numFmtId="0" fontId="35" fillId="21" borderId="56" xfId="0" applyFont="1" applyFill="1" applyBorder="1" applyAlignment="1">
      <alignment horizontal="left" vertical="center" wrapText="1"/>
    </xf>
    <xf numFmtId="0" fontId="35" fillId="21" borderId="57" xfId="0" applyFont="1" applyFill="1" applyBorder="1" applyAlignment="1">
      <alignment horizontal="left" vertical="center" wrapText="1"/>
    </xf>
    <xf numFmtId="0" fontId="35" fillId="21" borderId="60" xfId="0" applyFont="1" applyFill="1" applyBorder="1" applyAlignment="1">
      <alignment horizontal="left" vertical="center" wrapText="1"/>
    </xf>
    <xf numFmtId="0" fontId="35" fillId="21" borderId="61" xfId="0" applyFont="1" applyFill="1" applyBorder="1" applyAlignment="1">
      <alignment horizontal="left" vertical="center" wrapText="1"/>
    </xf>
    <xf numFmtId="0" fontId="32" fillId="17" borderId="0" xfId="0" applyFont="1" applyFill="1" applyAlignment="1">
      <alignment horizontal="left"/>
    </xf>
    <xf numFmtId="0" fontId="17" fillId="0" borderId="0" xfId="9" applyFill="1" applyAlignment="1">
      <alignment horizontal="left"/>
    </xf>
    <xf numFmtId="0" fontId="54" fillId="18" borderId="180" xfId="0" applyFont="1" applyFill="1" applyBorder="1" applyAlignment="1">
      <alignment horizontal="center"/>
    </xf>
    <xf numFmtId="0" fontId="55" fillId="14" borderId="0" xfId="0" applyFont="1" applyFill="1" applyAlignment="1">
      <alignment horizontal="left" wrapText="1"/>
    </xf>
    <xf numFmtId="0" fontId="56" fillId="14" borderId="0" xfId="0" applyFont="1" applyFill="1" applyAlignment="1">
      <alignment horizontal="left" wrapText="1"/>
    </xf>
    <xf numFmtId="0" fontId="57" fillId="9" borderId="98" xfId="0" applyFont="1" applyFill="1" applyBorder="1" applyAlignment="1">
      <alignment horizontal="center" vertical="center" wrapText="1"/>
    </xf>
    <xf numFmtId="0" fontId="57" fillId="9" borderId="107" xfId="0" applyFont="1" applyFill="1" applyBorder="1" applyAlignment="1">
      <alignment horizontal="center" vertical="center" wrapText="1"/>
    </xf>
    <xf numFmtId="0" fontId="57" fillId="9" borderId="99" xfId="0" applyFont="1" applyFill="1" applyBorder="1" applyAlignment="1">
      <alignment horizontal="center" vertical="center" wrapText="1"/>
    </xf>
    <xf numFmtId="49" fontId="51" fillId="24" borderId="108" xfId="0" applyNumberFormat="1" applyFont="1" applyFill="1" applyBorder="1" applyAlignment="1">
      <alignment horizontal="center" vertical="center"/>
    </xf>
    <xf numFmtId="14" fontId="62" fillId="24" borderId="97" xfId="0" applyNumberFormat="1" applyFont="1" applyFill="1" applyBorder="1" applyAlignment="1">
      <alignment horizontal="center" vertical="center"/>
    </xf>
    <xf numFmtId="49" fontId="51" fillId="24" borderId="67" xfId="0" applyNumberFormat="1" applyFont="1" applyFill="1" applyBorder="1" applyAlignment="1">
      <alignment horizontal="center" vertical="center"/>
    </xf>
    <xf numFmtId="0" fontId="55" fillId="14" borderId="109" xfId="0" applyFont="1" applyFill="1" applyBorder="1" applyAlignment="1">
      <alignment horizontal="left" vertical="center" wrapText="1"/>
    </xf>
    <xf numFmtId="0" fontId="56" fillId="14" borderId="109" xfId="0" applyFont="1" applyFill="1" applyBorder="1" applyAlignment="1">
      <alignment horizontal="left" vertical="center" wrapText="1"/>
    </xf>
    <xf numFmtId="0" fontId="56" fillId="14" borderId="97" xfId="0" applyFont="1" applyFill="1" applyBorder="1" applyAlignment="1">
      <alignment horizontal="left" vertical="center" wrapText="1"/>
    </xf>
    <xf numFmtId="0" fontId="58" fillId="24" borderId="109" xfId="0" applyFont="1" applyFill="1" applyBorder="1" applyAlignment="1">
      <alignment horizontal="center" vertical="center" wrapText="1"/>
    </xf>
    <xf numFmtId="0" fontId="58" fillId="24" borderId="100" xfId="0" applyFont="1" applyFill="1" applyBorder="1" applyAlignment="1">
      <alignment horizontal="center" vertical="center" wrapText="1"/>
    </xf>
    <xf numFmtId="0" fontId="58" fillId="24" borderId="97" xfId="0" applyFont="1" applyFill="1" applyBorder="1" applyAlignment="1">
      <alignment horizontal="center" vertical="center"/>
    </xf>
    <xf numFmtId="0" fontId="17" fillId="0" borderId="0" xfId="9" applyFill="1"/>
    <xf numFmtId="0" fontId="32" fillId="13" borderId="0" xfId="0" applyFont="1" applyFill="1" applyAlignment="1">
      <alignment horizontal="center" vertical="center"/>
    </xf>
    <xf numFmtId="0" fontId="58" fillId="24" borderId="0" xfId="0" applyFont="1" applyFill="1" applyAlignment="1">
      <alignment horizontal="center" vertical="center" wrapText="1"/>
    </xf>
    <xf numFmtId="0" fontId="58" fillId="24" borderId="104" xfId="0" applyFont="1" applyFill="1" applyBorder="1" applyAlignment="1">
      <alignment horizontal="center" vertical="center" wrapText="1"/>
    </xf>
    <xf numFmtId="0" fontId="58" fillId="24" borderId="97" xfId="0" applyFont="1" applyFill="1" applyBorder="1" applyAlignment="1">
      <alignment horizontal="center" vertical="center" wrapText="1"/>
    </xf>
    <xf numFmtId="0" fontId="58" fillId="24" borderId="111" xfId="0" applyFont="1" applyFill="1" applyBorder="1" applyAlignment="1">
      <alignment horizontal="center" vertical="center" wrapText="1"/>
    </xf>
    <xf numFmtId="0" fontId="57" fillId="9" borderId="115" xfId="0" applyFont="1" applyFill="1" applyBorder="1" applyAlignment="1">
      <alignment horizontal="center" vertical="center" wrapText="1"/>
    </xf>
    <xf numFmtId="0" fontId="33" fillId="5" borderId="0" xfId="0" applyFont="1" applyFill="1" applyAlignment="1">
      <alignment horizontal="center"/>
    </xf>
    <xf numFmtId="0" fontId="0" fillId="27" borderId="180" xfId="0" applyFill="1" applyBorder="1" applyAlignment="1">
      <alignment horizontal="center"/>
    </xf>
    <xf numFmtId="0" fontId="58" fillId="24" borderId="107" xfId="0" applyFont="1" applyFill="1" applyBorder="1" applyAlignment="1">
      <alignment horizontal="left" vertical="center" wrapText="1"/>
    </xf>
    <xf numFmtId="0" fontId="58" fillId="24" borderId="115" xfId="0" applyFont="1" applyFill="1" applyBorder="1" applyAlignment="1">
      <alignment horizontal="left" vertical="center" wrapText="1"/>
    </xf>
    <xf numFmtId="14" fontId="62" fillId="24" borderId="108" xfId="0" applyNumberFormat="1" applyFont="1" applyFill="1" applyBorder="1" applyAlignment="1">
      <alignment horizontal="center" vertical="center"/>
    </xf>
    <xf numFmtId="14" fontId="62" fillId="24" borderId="149" xfId="0" applyNumberFormat="1" applyFont="1" applyFill="1" applyBorder="1" applyAlignment="1">
      <alignment horizontal="center" vertical="center"/>
    </xf>
    <xf numFmtId="14" fontId="62" fillId="24" borderId="109" xfId="0" applyNumberFormat="1" applyFont="1" applyFill="1" applyBorder="1" applyAlignment="1">
      <alignment horizontal="center" vertical="center"/>
    </xf>
    <xf numFmtId="14" fontId="62" fillId="24" borderId="160" xfId="0" applyNumberFormat="1" applyFont="1" applyFill="1" applyBorder="1" applyAlignment="1">
      <alignment horizontal="center" vertical="center"/>
    </xf>
    <xf numFmtId="0" fontId="24" fillId="9" borderId="119" xfId="0" applyFont="1" applyFill="1" applyBorder="1" applyAlignment="1">
      <alignment horizontal="center" vertical="center" wrapText="1"/>
    </xf>
    <xf numFmtId="0" fontId="24" fillId="9" borderId="120" xfId="0" applyFont="1" applyFill="1" applyBorder="1" applyAlignment="1">
      <alignment horizontal="center" vertical="center" wrapText="1"/>
    </xf>
    <xf numFmtId="49" fontId="51" fillId="24" borderId="146" xfId="0" applyNumberFormat="1" applyFont="1" applyFill="1" applyBorder="1" applyAlignment="1">
      <alignment horizontal="center" vertical="center"/>
    </xf>
    <xf numFmtId="49" fontId="51" fillId="24" borderId="150" xfId="0" applyNumberFormat="1" applyFont="1" applyFill="1" applyBorder="1" applyAlignment="1">
      <alignment horizontal="center" vertical="center"/>
    </xf>
    <xf numFmtId="0" fontId="58" fillId="24" borderId="99" xfId="0" applyFont="1" applyFill="1" applyBorder="1" applyAlignment="1">
      <alignment horizontal="left" vertical="center" wrapText="1"/>
    </xf>
    <xf numFmtId="49" fontId="51" fillId="24" borderId="97" xfId="0" applyNumberFormat="1" applyFont="1" applyFill="1" applyBorder="1" applyAlignment="1">
      <alignment horizontal="center" vertical="center"/>
    </xf>
    <xf numFmtId="49" fontId="51" fillId="24" borderId="148" xfId="0" applyNumberFormat="1" applyFont="1" applyFill="1" applyBorder="1" applyAlignment="1">
      <alignment horizontal="center" vertical="center"/>
    </xf>
    <xf numFmtId="0" fontId="24" fillId="9" borderId="139" xfId="0" applyFont="1" applyFill="1" applyBorder="1" applyAlignment="1">
      <alignment horizontal="center" vertical="center" wrapText="1"/>
    </xf>
    <xf numFmtId="0" fontId="24" fillId="9" borderId="115" xfId="0" applyFont="1" applyFill="1" applyBorder="1" applyAlignment="1">
      <alignment horizontal="center" vertical="center" wrapText="1"/>
    </xf>
    <xf numFmtId="49" fontId="51" fillId="24" borderId="107" xfId="0" applyNumberFormat="1" applyFont="1" applyFill="1" applyBorder="1" applyAlignment="1">
      <alignment horizontal="center" vertical="center"/>
    </xf>
    <xf numFmtId="49" fontId="51" fillId="24" borderId="151" xfId="0" applyNumberFormat="1" applyFont="1" applyFill="1" applyBorder="1" applyAlignment="1">
      <alignment horizontal="center" vertical="center"/>
    </xf>
    <xf numFmtId="0" fontId="24" fillId="9" borderId="111" xfId="0" applyFont="1" applyFill="1" applyBorder="1" applyAlignment="1">
      <alignment horizontal="center" vertical="center" wrapText="1"/>
    </xf>
    <xf numFmtId="0" fontId="24" fillId="9" borderId="110" xfId="0" applyFont="1" applyFill="1" applyBorder="1" applyAlignment="1">
      <alignment horizontal="center" vertical="center" wrapText="1"/>
    </xf>
    <xf numFmtId="0" fontId="57" fillId="9" borderId="153" xfId="0" applyFont="1" applyFill="1" applyBorder="1" applyAlignment="1">
      <alignment horizontal="center" vertical="center" wrapText="1"/>
    </xf>
    <xf numFmtId="49" fontId="51" fillId="24" borderId="149" xfId="0" applyNumberFormat="1" applyFont="1" applyFill="1" applyBorder="1" applyAlignment="1">
      <alignment horizontal="center" vertical="center"/>
    </xf>
    <xf numFmtId="0" fontId="58" fillId="24" borderId="108" xfId="0" applyFont="1" applyFill="1" applyBorder="1" applyAlignment="1">
      <alignment horizontal="left" vertical="center" wrapText="1"/>
    </xf>
    <xf numFmtId="0" fontId="58" fillId="24" borderId="147" xfId="0" applyFont="1" applyFill="1" applyBorder="1" applyAlignment="1">
      <alignment horizontal="left" vertical="center" wrapText="1"/>
    </xf>
    <xf numFmtId="0" fontId="32" fillId="26" borderId="152" xfId="0" applyFont="1" applyFill="1" applyBorder="1" applyAlignment="1">
      <alignment horizontal="left" wrapText="1"/>
    </xf>
    <xf numFmtId="0" fontId="32" fillId="26" borderId="97" xfId="0" applyFont="1" applyFill="1" applyBorder="1" applyAlignment="1">
      <alignment horizontal="left" wrapText="1"/>
    </xf>
    <xf numFmtId="0" fontId="32" fillId="26" borderId="148" xfId="0" applyFont="1" applyFill="1" applyBorder="1" applyAlignment="1">
      <alignment horizontal="left" wrapText="1"/>
    </xf>
    <xf numFmtId="0" fontId="58" fillId="24" borderId="153" xfId="0" applyFont="1" applyFill="1" applyBorder="1" applyAlignment="1">
      <alignment horizontal="left" vertical="center" wrapText="1"/>
    </xf>
    <xf numFmtId="14" fontId="62" fillId="24" borderId="71" xfId="0" applyNumberFormat="1" applyFont="1" applyFill="1" applyBorder="1" applyAlignment="1">
      <alignment horizontal="center" vertical="center"/>
    </xf>
    <xf numFmtId="14" fontId="62" fillId="24" borderId="55" xfId="0" applyNumberFormat="1" applyFont="1" applyFill="1" applyBorder="1" applyAlignment="1">
      <alignment horizontal="center" vertical="center"/>
    </xf>
    <xf numFmtId="0" fontId="58" fillId="24" borderId="156" xfId="0" applyFont="1" applyFill="1" applyBorder="1" applyAlignment="1">
      <alignment horizontal="left" vertical="center" wrapText="1"/>
    </xf>
    <xf numFmtId="14" fontId="62" fillId="24" borderId="157" xfId="0" applyNumberFormat="1" applyFont="1" applyFill="1" applyBorder="1" applyAlignment="1">
      <alignment horizontal="center" vertical="center"/>
    </xf>
    <xf numFmtId="0" fontId="62" fillId="24" borderId="157" xfId="0" applyFont="1" applyFill="1" applyBorder="1" applyAlignment="1">
      <alignment horizontal="center" vertical="center"/>
    </xf>
    <xf numFmtId="0" fontId="62" fillId="24" borderId="158" xfId="0" applyFont="1" applyFill="1" applyBorder="1" applyAlignment="1">
      <alignment horizontal="center" vertical="center"/>
    </xf>
    <xf numFmtId="0" fontId="57" fillId="9" borderId="152" xfId="0" applyFont="1" applyFill="1" applyBorder="1" applyAlignment="1">
      <alignment horizontal="center" vertical="center" wrapText="1"/>
    </xf>
    <xf numFmtId="0" fontId="57" fillId="9" borderId="97" xfId="0" applyFont="1" applyFill="1" applyBorder="1" applyAlignment="1">
      <alignment horizontal="center" vertical="center" wrapText="1"/>
    </xf>
    <xf numFmtId="0" fontId="57" fillId="9" borderId="120" xfId="0" applyFont="1" applyFill="1" applyBorder="1" applyAlignment="1">
      <alignment horizontal="center" vertical="center" wrapText="1"/>
    </xf>
    <xf numFmtId="49" fontId="51" fillId="24" borderId="61" xfId="0" applyNumberFormat="1" applyFont="1" applyFill="1" applyBorder="1" applyAlignment="1">
      <alignment horizontal="center" vertical="center"/>
    </xf>
    <xf numFmtId="0" fontId="24" fillId="9" borderId="116" xfId="0" applyFont="1" applyFill="1" applyBorder="1" applyAlignment="1">
      <alignment horizontal="center" vertical="center" wrapText="1"/>
    </xf>
    <xf numFmtId="0" fontId="24" fillId="9" borderId="117" xfId="0" applyFont="1" applyFill="1" applyBorder="1" applyAlignment="1">
      <alignment horizontal="center" vertical="center" wrapText="1"/>
    </xf>
    <xf numFmtId="0" fontId="58" fillId="24" borderId="110" xfId="0" applyFont="1" applyFill="1" applyBorder="1" applyAlignment="1">
      <alignment horizontal="center" vertical="center" wrapText="1"/>
    </xf>
    <xf numFmtId="0" fontId="57" fillId="25" borderId="0" xfId="0" applyFont="1" applyFill="1" applyAlignment="1">
      <alignment horizontal="left" vertical="center"/>
    </xf>
    <xf numFmtId="0" fontId="73" fillId="14" borderId="110" xfId="0" applyFont="1" applyFill="1" applyBorder="1" applyAlignment="1">
      <alignment horizontal="left" vertical="center" wrapText="1"/>
    </xf>
    <xf numFmtId="0" fontId="73" fillId="14" borderId="97" xfId="0" applyFont="1" applyFill="1" applyBorder="1" applyAlignment="1">
      <alignment horizontal="left" vertical="center" wrapText="1"/>
    </xf>
    <xf numFmtId="0" fontId="73" fillId="14" borderId="111" xfId="0" applyFont="1" applyFill="1" applyBorder="1" applyAlignment="1">
      <alignment horizontal="left" vertical="center" wrapText="1"/>
    </xf>
    <xf numFmtId="0" fontId="73" fillId="14" borderId="98" xfId="0" applyFont="1" applyFill="1" applyBorder="1" applyAlignment="1">
      <alignment horizontal="left" vertical="center" wrapText="1"/>
    </xf>
    <xf numFmtId="0" fontId="73" fillId="14" borderId="107" xfId="0" applyFont="1" applyFill="1" applyBorder="1" applyAlignment="1">
      <alignment horizontal="left" vertical="center" wrapText="1"/>
    </xf>
    <xf numFmtId="0" fontId="73" fillId="14" borderId="99" xfId="0" applyFont="1" applyFill="1" applyBorder="1" applyAlignment="1">
      <alignment horizontal="left" vertical="center" wrapText="1"/>
    </xf>
    <xf numFmtId="0" fontId="0" fillId="19" borderId="71" xfId="0" applyFill="1" applyBorder="1" applyAlignment="1">
      <alignment horizontal="center"/>
    </xf>
    <xf numFmtId="0" fontId="0" fillId="19" borderId="0" xfId="0" applyFill="1" applyAlignment="1">
      <alignment horizontal="center"/>
    </xf>
    <xf numFmtId="0" fontId="24" fillId="9" borderId="128" xfId="0" applyFont="1" applyFill="1" applyBorder="1" applyAlignment="1">
      <alignment horizontal="center" vertical="center" wrapText="1"/>
    </xf>
    <xf numFmtId="0" fontId="24" fillId="9" borderId="134" xfId="0" applyFont="1" applyFill="1" applyBorder="1" applyAlignment="1">
      <alignment horizontal="center" vertical="center" wrapText="1"/>
    </xf>
    <xf numFmtId="0" fontId="58" fillId="24" borderId="0" xfId="0" applyFont="1" applyFill="1" applyAlignment="1">
      <alignment horizontal="left" vertical="center" wrapText="1"/>
    </xf>
    <xf numFmtId="0" fontId="58" fillId="24" borderId="117" xfId="0" applyFont="1" applyFill="1" applyBorder="1" applyAlignment="1">
      <alignment horizontal="left" vertical="center" wrapText="1"/>
    </xf>
    <xf numFmtId="0" fontId="24" fillId="9" borderId="137" xfId="0" applyFont="1" applyFill="1" applyBorder="1" applyAlignment="1">
      <alignment horizontal="center" vertical="center" wrapText="1"/>
    </xf>
    <xf numFmtId="0" fontId="24" fillId="9" borderId="124" xfId="0" applyFont="1" applyFill="1" applyBorder="1" applyAlignment="1">
      <alignment horizontal="center" vertical="center" wrapText="1"/>
    </xf>
    <xf numFmtId="0" fontId="24" fillId="9" borderId="125" xfId="0" applyFont="1" applyFill="1" applyBorder="1" applyAlignment="1">
      <alignment horizontal="center" vertical="center" wrapText="1"/>
    </xf>
    <xf numFmtId="0" fontId="65" fillId="24" borderId="162" xfId="0" applyFont="1" applyFill="1" applyBorder="1" applyAlignment="1">
      <alignment horizontal="left" wrapText="1"/>
    </xf>
    <xf numFmtId="0" fontId="65" fillId="24" borderId="127" xfId="0" applyFont="1" applyFill="1" applyBorder="1" applyAlignment="1">
      <alignment horizontal="left" wrapText="1"/>
    </xf>
    <xf numFmtId="0" fontId="65" fillId="24" borderId="135" xfId="0" applyFont="1" applyFill="1" applyBorder="1" applyAlignment="1">
      <alignment horizontal="left" wrapText="1"/>
    </xf>
    <xf numFmtId="0" fontId="24" fillId="9" borderId="164" xfId="0" applyFont="1" applyFill="1" applyBorder="1" applyAlignment="1">
      <alignment horizontal="center" vertical="center" wrapText="1"/>
    </xf>
    <xf numFmtId="0" fontId="65" fillId="24" borderId="163" xfId="0" applyFont="1" applyFill="1" applyBorder="1" applyAlignment="1">
      <alignment horizontal="center" wrapText="1"/>
    </xf>
    <xf numFmtId="0" fontId="58" fillId="24" borderId="106" xfId="0" applyFont="1" applyFill="1" applyBorder="1" applyAlignment="1">
      <alignment horizontal="left" vertical="center" wrapText="1"/>
    </xf>
    <xf numFmtId="0" fontId="65" fillId="24" borderId="162" xfId="0" applyFont="1" applyFill="1" applyBorder="1" applyAlignment="1">
      <alignment wrapText="1"/>
    </xf>
    <xf numFmtId="0" fontId="65" fillId="24" borderId="127" xfId="0" applyFont="1" applyFill="1" applyBorder="1" applyAlignment="1">
      <alignment wrapText="1"/>
    </xf>
    <xf numFmtId="0" fontId="65" fillId="24" borderId="135" xfId="0" applyFont="1" applyFill="1" applyBorder="1" applyAlignment="1">
      <alignment wrapText="1"/>
    </xf>
    <xf numFmtId="0" fontId="24" fillId="9" borderId="165" xfId="0" applyFont="1" applyFill="1" applyBorder="1" applyAlignment="1">
      <alignment horizontal="center" vertical="center" wrapText="1"/>
    </xf>
    <xf numFmtId="0" fontId="64" fillId="24" borderId="98" xfId="0" applyFont="1" applyFill="1" applyBorder="1" applyAlignment="1">
      <alignment horizontal="left" vertical="center" wrapText="1"/>
    </xf>
    <xf numFmtId="0" fontId="32" fillId="13" borderId="0" xfId="0" applyFont="1" applyFill="1" applyAlignment="1">
      <alignment horizontal="left" vertical="center"/>
    </xf>
    <xf numFmtId="0" fontId="57" fillId="25" borderId="110" xfId="0" applyFont="1" applyFill="1" applyBorder="1" applyAlignment="1">
      <alignment horizontal="left" vertical="center" wrapText="1"/>
    </xf>
    <xf numFmtId="0" fontId="57" fillId="25" borderId="97" xfId="0" applyFont="1" applyFill="1" applyBorder="1" applyAlignment="1">
      <alignment horizontal="left" vertical="center" wrapText="1"/>
    </xf>
    <xf numFmtId="0" fontId="57" fillId="25" borderId="111" xfId="0" applyFont="1" applyFill="1" applyBorder="1" applyAlignment="1">
      <alignment horizontal="left" vertical="center" wrapText="1"/>
    </xf>
    <xf numFmtId="0" fontId="32" fillId="14" borderId="166" xfId="0" applyFont="1" applyFill="1" applyBorder="1" applyAlignment="1">
      <alignment vertical="center" wrapText="1"/>
    </xf>
    <xf numFmtId="0" fontId="32" fillId="14" borderId="167" xfId="0" applyFont="1" applyFill="1" applyBorder="1" applyAlignment="1">
      <alignment vertical="center" wrapText="1"/>
    </xf>
    <xf numFmtId="0" fontId="0" fillId="0" borderId="97" xfId="0" applyBorder="1" applyAlignment="1">
      <alignment horizontal="center"/>
    </xf>
    <xf numFmtId="0" fontId="57" fillId="5" borderId="0" xfId="0" applyFont="1" applyFill="1" applyAlignment="1">
      <alignment horizontal="center" vertical="center" wrapText="1"/>
    </xf>
    <xf numFmtId="0" fontId="24" fillId="9" borderId="107" xfId="0" applyFont="1" applyFill="1" applyBorder="1" applyAlignment="1">
      <alignment horizontal="center" vertical="center" wrapText="1"/>
    </xf>
    <xf numFmtId="0" fontId="24" fillId="9" borderId="99" xfId="0" applyFont="1" applyFill="1" applyBorder="1" applyAlignment="1">
      <alignment horizontal="center" vertical="center" wrapText="1"/>
    </xf>
    <xf numFmtId="0" fontId="58" fillId="24" borderId="97" xfId="0" applyFont="1" applyFill="1" applyBorder="1" applyAlignment="1">
      <alignment horizontal="left" vertical="center" wrapText="1"/>
    </xf>
    <xf numFmtId="0" fontId="58" fillId="24" borderId="120" xfId="0" applyFont="1" applyFill="1" applyBorder="1" applyAlignment="1">
      <alignment horizontal="left" vertical="center" wrapText="1"/>
    </xf>
    <xf numFmtId="0" fontId="58" fillId="5" borderId="97" xfId="0" applyFont="1" applyFill="1" applyBorder="1" applyAlignment="1">
      <alignment horizontal="left" vertical="center" wrapText="1"/>
    </xf>
    <xf numFmtId="0" fontId="24" fillId="9" borderId="109" xfId="0" applyFont="1" applyFill="1" applyBorder="1" applyAlignment="1">
      <alignment horizontal="center" vertical="center" wrapText="1"/>
    </xf>
    <xf numFmtId="0" fontId="24" fillId="9" borderId="145" xfId="0" applyFont="1" applyFill="1" applyBorder="1" applyAlignment="1">
      <alignment horizontal="center" vertical="center" wrapText="1"/>
    </xf>
    <xf numFmtId="0" fontId="58" fillId="5" borderId="0" xfId="0" applyFont="1" applyFill="1" applyAlignment="1">
      <alignment horizontal="left" vertical="center" wrapText="1"/>
    </xf>
    <xf numFmtId="0" fontId="58" fillId="5" borderId="0" xfId="0" applyFont="1" applyFill="1" applyAlignment="1">
      <alignment horizontal="center" vertical="center"/>
    </xf>
    <xf numFmtId="0" fontId="65" fillId="24" borderId="171" xfId="0" applyFont="1" applyFill="1" applyBorder="1" applyAlignment="1">
      <alignment horizontal="left" vertical="center" wrapText="1"/>
    </xf>
    <xf numFmtId="0" fontId="65" fillId="24" borderId="108" xfId="0" applyFont="1" applyFill="1" applyBorder="1" applyAlignment="1">
      <alignment horizontal="left" vertical="center" wrapText="1"/>
    </xf>
    <xf numFmtId="0" fontId="58" fillId="5" borderId="109" xfId="0" applyFont="1" applyFill="1" applyBorder="1" applyAlignment="1">
      <alignment horizontal="left" vertical="center" wrapText="1"/>
    </xf>
    <xf numFmtId="0" fontId="58" fillId="5" borderId="100" xfId="0" applyFont="1" applyFill="1" applyBorder="1" applyAlignment="1">
      <alignment horizontal="left" vertical="center" wrapText="1"/>
    </xf>
    <xf numFmtId="0" fontId="58" fillId="24" borderId="172" xfId="0" applyFont="1" applyFill="1" applyBorder="1" applyAlignment="1">
      <alignment horizontal="left" vertical="center"/>
    </xf>
    <xf numFmtId="0" fontId="58" fillId="24" borderId="146" xfId="0" applyFont="1" applyFill="1" applyBorder="1" applyAlignment="1">
      <alignment horizontal="left" vertical="center"/>
    </xf>
    <xf numFmtId="0" fontId="83" fillId="29" borderId="87" xfId="0" applyFont="1" applyFill="1" applyBorder="1" applyAlignment="1">
      <alignment horizontal="left" vertical="center" wrapText="1"/>
    </xf>
    <xf numFmtId="0" fontId="57" fillId="12" borderId="0" xfId="0" applyFont="1" applyFill="1" applyAlignment="1">
      <alignment horizontal="center" vertical="center"/>
    </xf>
    <xf numFmtId="0" fontId="83" fillId="29" borderId="91" xfId="0" applyFont="1" applyFill="1" applyBorder="1" applyAlignment="1">
      <alignment horizontal="left" vertical="center" wrapText="1"/>
    </xf>
    <xf numFmtId="0" fontId="83" fillId="29" borderId="141" xfId="0" applyFont="1" applyFill="1" applyBorder="1" applyAlignment="1">
      <alignment horizontal="left" vertical="center" wrapText="1"/>
    </xf>
    <xf numFmtId="0" fontId="83" fillId="29" borderId="142" xfId="0" applyFont="1" applyFill="1" applyBorder="1" applyAlignment="1">
      <alignment horizontal="left" vertical="center" wrapText="1"/>
    </xf>
    <xf numFmtId="0" fontId="85" fillId="20" borderId="105" xfId="0" applyFont="1" applyFill="1" applyBorder="1" applyAlignment="1">
      <alignment horizontal="left" vertical="center" wrapText="1"/>
    </xf>
    <xf numFmtId="0" fontId="85" fillId="20" borderId="100" xfId="0" applyFont="1" applyFill="1" applyBorder="1" applyAlignment="1">
      <alignment horizontal="left" vertical="center" wrapText="1"/>
    </xf>
    <xf numFmtId="0" fontId="85" fillId="20" borderId="110" xfId="0" applyFont="1" applyFill="1" applyBorder="1" applyAlignment="1">
      <alignment horizontal="left" vertical="center" wrapText="1"/>
    </xf>
    <xf numFmtId="0" fontId="85" fillId="20" borderId="111" xfId="0" applyFont="1" applyFill="1" applyBorder="1" applyAlignment="1">
      <alignment horizontal="left" vertical="center" wrapText="1"/>
    </xf>
    <xf numFmtId="0" fontId="82" fillId="16" borderId="98" xfId="0" applyFont="1" applyFill="1" applyBorder="1" applyAlignment="1">
      <alignment horizontal="center" vertical="center" wrapText="1"/>
    </xf>
    <xf numFmtId="0" fontId="82" fillId="16" borderId="99" xfId="0" applyFont="1" applyFill="1" applyBorder="1" applyAlignment="1">
      <alignment horizontal="center" vertical="center" wrapText="1"/>
    </xf>
    <xf numFmtId="0" fontId="81" fillId="9" borderId="173" xfId="0" applyFont="1" applyFill="1" applyBorder="1" applyAlignment="1">
      <alignment horizontal="center" vertical="center" wrapText="1"/>
    </xf>
    <xf numFmtId="0" fontId="81" fillId="9" borderId="174" xfId="0" applyFont="1" applyFill="1" applyBorder="1" applyAlignment="1">
      <alignment horizontal="center" vertical="center" wrapText="1"/>
    </xf>
    <xf numFmtId="0" fontId="82" fillId="20" borderId="142" xfId="0" applyFont="1" applyFill="1" applyBorder="1" applyAlignment="1">
      <alignment vertical="center" wrapText="1"/>
    </xf>
    <xf numFmtId="0" fontId="82" fillId="20" borderId="87" xfId="0" applyFont="1" applyFill="1" applyBorder="1" applyAlignment="1">
      <alignment vertical="center" wrapText="1"/>
    </xf>
    <xf numFmtId="0" fontId="82" fillId="20" borderId="87" xfId="0" applyFont="1" applyFill="1" applyBorder="1" applyAlignment="1">
      <alignment horizontal="left" vertical="center" wrapText="1"/>
    </xf>
    <xf numFmtId="0" fontId="14" fillId="5" borderId="0" xfId="1" applyFont="1" applyFill="1" applyAlignment="1">
      <alignment horizontal="left"/>
    </xf>
    <xf numFmtId="0" fontId="79" fillId="5" borderId="0" xfId="3" applyFont="1" applyFill="1" applyBorder="1" applyAlignment="1"/>
    <xf numFmtId="0" fontId="79" fillId="5" borderId="0" xfId="1" applyFont="1" applyFill="1" applyAlignment="1">
      <alignment horizontal="center" vertical="center"/>
    </xf>
    <xf numFmtId="0" fontId="4" fillId="5" borderId="0" xfId="4" applyFill="1" applyBorder="1"/>
    <xf numFmtId="0" fontId="79" fillId="5" borderId="0" xfId="3" applyFont="1" applyFill="1" applyBorder="1" applyAlignment="1">
      <alignment horizontal="left"/>
    </xf>
    <xf numFmtId="0" fontId="27" fillId="9" borderId="0" xfId="2" applyFont="1" applyFill="1" applyBorder="1" applyAlignment="1">
      <alignment horizontal="center" vertical="center" shrinkToFit="1"/>
    </xf>
    <xf numFmtId="0" fontId="15" fillId="5" borderId="0" xfId="1" applyFont="1" applyFill="1" applyAlignment="1">
      <alignment horizontal="left" vertical="center"/>
    </xf>
    <xf numFmtId="164" fontId="29" fillId="9" borderId="10" xfId="5" applyNumberFormat="1" applyFont="1" applyFill="1" applyBorder="1" applyAlignment="1">
      <alignment horizontal="left" vertical="center"/>
    </xf>
    <xf numFmtId="166" fontId="30" fillId="5" borderId="50" xfId="2" applyNumberFormat="1" applyFont="1" applyFill="1" applyBorder="1" applyAlignment="1" applyProtection="1">
      <alignment horizontal="left" vertical="center"/>
      <protection hidden="1"/>
    </xf>
    <xf numFmtId="166" fontId="30" fillId="5" borderId="51" xfId="2" applyNumberFormat="1" applyFont="1" applyFill="1" applyBorder="1" applyAlignment="1" applyProtection="1">
      <alignment horizontal="left" vertical="center"/>
      <protection hidden="1"/>
    </xf>
    <xf numFmtId="165" fontId="12" fillId="5" borderId="7" xfId="8" applyNumberFormat="1" applyFont="1" applyFill="1" applyBorder="1" applyAlignment="1">
      <alignment horizontal="left" wrapText="1" indent="1"/>
    </xf>
    <xf numFmtId="165" fontId="12" fillId="5" borderId="16" xfId="8" applyNumberFormat="1" applyFont="1" applyFill="1" applyBorder="1" applyAlignment="1">
      <alignment horizontal="left" wrapText="1" indent="1"/>
    </xf>
    <xf numFmtId="0" fontId="1" fillId="5" borderId="7" xfId="8" applyFill="1" applyBorder="1" applyAlignment="1" applyProtection="1">
      <alignment horizontal="left" vertical="center" wrapText="1"/>
      <protection hidden="1"/>
    </xf>
    <xf numFmtId="0" fontId="1" fillId="5" borderId="16" xfId="8" applyFill="1" applyBorder="1" applyAlignment="1" applyProtection="1">
      <alignment horizontal="left" vertical="center" wrapText="1"/>
      <protection hidden="1"/>
    </xf>
    <xf numFmtId="0" fontId="3" fillId="4" borderId="23" xfId="1" applyBorder="1" applyAlignment="1" applyProtection="1">
      <alignment horizontal="left"/>
      <protection hidden="1"/>
    </xf>
    <xf numFmtId="0" fontId="3" fillId="4" borderId="12" xfId="1" applyBorder="1" applyAlignment="1" applyProtection="1">
      <alignment horizontal="left"/>
      <protection hidden="1"/>
    </xf>
    <xf numFmtId="0" fontId="3" fillId="4" borderId="17" xfId="1" applyBorder="1" applyAlignment="1" applyProtection="1">
      <alignment horizontal="left"/>
      <protection hidden="1"/>
    </xf>
    <xf numFmtId="0" fontId="1" fillId="5" borderId="7" xfId="8" applyFill="1" applyBorder="1" applyAlignment="1">
      <alignment horizontal="left" vertical="center" wrapText="1"/>
    </xf>
    <xf numFmtId="0" fontId="1" fillId="5" borderId="16" xfId="8" applyFill="1" applyBorder="1" applyAlignment="1">
      <alignment horizontal="left" vertical="center" wrapText="1"/>
    </xf>
    <xf numFmtId="0" fontId="3" fillId="4" borderId="23" xfId="1" applyBorder="1" applyAlignment="1"/>
    <xf numFmtId="0" fontId="3" fillId="4" borderId="12" xfId="1" applyBorder="1" applyAlignment="1"/>
    <xf numFmtId="0" fontId="3" fillId="4" borderId="17" xfId="1" applyBorder="1" applyAlignment="1"/>
    <xf numFmtId="0" fontId="44" fillId="17" borderId="0" xfId="0" applyFont="1" applyFill="1" applyAlignment="1">
      <alignment horizontal="left" vertical="center" wrapText="1"/>
    </xf>
    <xf numFmtId="0" fontId="45" fillId="17" borderId="0" xfId="0" applyFont="1" applyFill="1" applyAlignment="1">
      <alignment horizontal="left" vertical="center" wrapText="1"/>
    </xf>
    <xf numFmtId="0" fontId="41" fillId="30" borderId="0" xfId="0" applyFont="1" applyFill="1" applyBorder="1" applyAlignment="1">
      <alignment horizontal="center" vertical="center"/>
    </xf>
    <xf numFmtId="0" fontId="41" fillId="21" borderId="0" xfId="0" applyFont="1" applyFill="1" applyBorder="1" applyAlignment="1">
      <alignment horizontal="left" vertical="center"/>
    </xf>
    <xf numFmtId="0" fontId="41" fillId="5" borderId="0" xfId="0" applyFont="1" applyFill="1" applyBorder="1" applyAlignment="1">
      <alignment horizontal="center" vertical="center"/>
    </xf>
    <xf numFmtId="0" fontId="41" fillId="5" borderId="0" xfId="0" applyFont="1" applyFill="1" applyBorder="1" applyAlignment="1">
      <alignment horizontal="left" vertical="center"/>
    </xf>
    <xf numFmtId="0" fontId="0" fillId="0" borderId="0" xfId="0" applyAlignment="1"/>
    <xf numFmtId="0" fontId="0" fillId="0" borderId="102" xfId="0" applyBorder="1" applyAlignment="1">
      <alignment horizontal="center"/>
    </xf>
    <xf numFmtId="0" fontId="32" fillId="13" borderId="0" xfId="0" applyFont="1" applyFill="1" applyAlignment="1">
      <alignment horizontal="left" vertical="center" wrapText="1"/>
    </xf>
    <xf numFmtId="0" fontId="41" fillId="30" borderId="0" xfId="0" applyFont="1" applyFill="1" applyBorder="1" applyAlignment="1">
      <alignment horizontal="center" vertical="center"/>
    </xf>
    <xf numFmtId="0" fontId="41" fillId="21" borderId="0" xfId="0" applyFont="1" applyFill="1" applyBorder="1" applyAlignment="1">
      <alignment horizontal="center" vertical="center"/>
    </xf>
    <xf numFmtId="0" fontId="41" fillId="21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7" fillId="0" borderId="0" xfId="9" applyFill="1" applyAlignment="1">
      <alignment horizontal="left" vertical="center"/>
    </xf>
    <xf numFmtId="16" fontId="39" fillId="5" borderId="54" xfId="0" applyNumberFormat="1" applyFont="1" applyFill="1" applyBorder="1" applyAlignment="1">
      <alignment horizontal="center"/>
    </xf>
    <xf numFmtId="16" fontId="39" fillId="5" borderId="55" xfId="0" applyNumberFormat="1" applyFont="1" applyFill="1" applyBorder="1" applyAlignment="1">
      <alignment horizontal="center"/>
    </xf>
    <xf numFmtId="16" fontId="39" fillId="5" borderId="56" xfId="0" applyNumberFormat="1" applyFont="1" applyFill="1" applyBorder="1" applyAlignment="1">
      <alignment horizontal="center"/>
    </xf>
    <xf numFmtId="16" fontId="39" fillId="5" borderId="57" xfId="0" applyNumberFormat="1" applyFont="1" applyFill="1" applyBorder="1" applyAlignment="1">
      <alignment horizontal="center"/>
    </xf>
    <xf numFmtId="16" fontId="39" fillId="5" borderId="60" xfId="0" applyNumberFormat="1" applyFont="1" applyFill="1" applyBorder="1" applyAlignment="1">
      <alignment horizontal="center"/>
    </xf>
    <xf numFmtId="16" fontId="39" fillId="5" borderId="61" xfId="0" applyNumberFormat="1" applyFont="1" applyFill="1" applyBorder="1" applyAlignment="1">
      <alignment horizontal="center"/>
    </xf>
    <xf numFmtId="0" fontId="0" fillId="5" borderId="180" xfId="0" applyFill="1" applyBorder="1" applyAlignment="1">
      <alignment horizontal="center"/>
    </xf>
    <xf numFmtId="0" fontId="38" fillId="13" borderId="182" xfId="0" applyFont="1" applyFill="1" applyBorder="1" applyAlignment="1">
      <alignment horizontal="center" vertical="center" wrapText="1"/>
    </xf>
    <xf numFmtId="0" fontId="38" fillId="13" borderId="183" xfId="0" applyFont="1" applyFill="1" applyBorder="1" applyAlignment="1">
      <alignment horizontal="center" vertical="center" wrapText="1"/>
    </xf>
    <xf numFmtId="0" fontId="38" fillId="13" borderId="184" xfId="0" applyFont="1" applyFill="1" applyBorder="1" applyAlignment="1">
      <alignment horizontal="center" vertical="center" wrapText="1"/>
    </xf>
    <xf numFmtId="0" fontId="38" fillId="13" borderId="185" xfId="0" applyFont="1" applyFill="1" applyBorder="1" applyAlignment="1">
      <alignment horizontal="center" vertical="center" wrapText="1"/>
    </xf>
    <xf numFmtId="0" fontId="38" fillId="13" borderId="186" xfId="0" applyFont="1" applyFill="1" applyBorder="1" applyAlignment="1">
      <alignment horizontal="center" vertical="center" wrapText="1"/>
    </xf>
    <xf numFmtId="0" fontId="38" fillId="13" borderId="187" xfId="0" applyFont="1" applyFill="1" applyBorder="1" applyAlignment="1">
      <alignment horizontal="center" vertical="center" wrapText="1"/>
    </xf>
  </cellXfs>
  <cellStyles count="14">
    <cellStyle name="40% - Énfasis1 2" xfId="7" xr:uid="{332DE1EA-BC95-4E20-B5C1-531634AACB84}"/>
    <cellStyle name="Encabezado 1 2" xfId="2" xr:uid="{9257A71F-EBC6-40C1-85B5-86357089D247}"/>
    <cellStyle name="Encabezado 4 2" xfId="5" xr:uid="{A852D884-D02E-472C-A915-7DA6AA62EFA4}"/>
    <cellStyle name="Énfasis1 2" xfId="8" xr:uid="{808CCD1A-C2C6-4281-BCFC-3138040D90F0}"/>
    <cellStyle name="Hipervínculo" xfId="9" builtinId="8"/>
    <cellStyle name="Millares" xfId="11" builtinId="3"/>
    <cellStyle name="Millares [0]" xfId="12" builtinId="6"/>
    <cellStyle name="Normal" xfId="0" builtinId="0"/>
    <cellStyle name="Normal 2" xfId="1" xr:uid="{071B3E44-26B1-415D-98B0-D36DA1166472}"/>
    <cellStyle name="Normal 3" xfId="10" xr:uid="{886E4C89-FCBF-4C49-B874-91C9DD5A7CDD}"/>
    <cellStyle name="Porcentaje" xfId="13" builtinId="5"/>
    <cellStyle name="Título 2 2" xfId="6" xr:uid="{A130E0E6-904C-4CDE-A985-9B00D789EB03}"/>
    <cellStyle name="Título 3 2" xfId="3" xr:uid="{6B767473-3398-49A9-9397-C5F8E48F6FE6}"/>
    <cellStyle name="Título 4" xfId="4" xr:uid="{87F60546-57F6-4644-B323-1BDDE2FA1A92}"/>
  </cellStyles>
  <dxfs count="81">
    <dxf>
      <font>
        <b/>
        <i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numFmt numFmtId="170" formatCode="dd\-mmm"/>
    </dxf>
    <dxf>
      <font>
        <b val="0"/>
        <i val="0"/>
        <color theme="3"/>
      </font>
      <fill>
        <patternFill patternType="solid">
          <fgColor theme="0" tint="-0.14996795556505021"/>
          <bgColor theme="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3"/>
      </font>
      <fill>
        <patternFill>
          <bgColor theme="2"/>
        </patternFill>
      </fill>
      <border diagonalUp="0" diagonalDown="0">
        <left/>
        <right/>
        <top/>
        <bottom style="thick">
          <color theme="3"/>
        </bottom>
        <vertical/>
        <horizontal/>
      </border>
    </dxf>
    <dxf>
      <font>
        <b val="0"/>
        <i val="0"/>
        <color theme="3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</dxfs>
  <tableStyles count="2" defaultTableStyle="TableStyleMedium2" defaultPivotStyle="PivotStyleLight16">
    <tableStyle name="Calendario con la tabla de días festivos" pivot="0" count="3" xr9:uid="{96AD382F-CFF9-413B-B601-BDF919CFE1BA}">
      <tableStyleElement type="wholeTable" dxfId="80"/>
      <tableStyleElement type="headerRow" dxfId="79"/>
      <tableStyleElement type="firstRowStripe" dxfId="78"/>
    </tableStyle>
    <tableStyle name="Invisible" pivot="0" table="0" count="0" xr9:uid="{282AD899-04F0-4965-B22A-4352592D4A84}"/>
  </tableStyles>
  <colors>
    <mruColors>
      <color rgb="FF200C25"/>
      <color rgb="FFFF7F00"/>
      <color rgb="FFCCCCCC"/>
      <color rgb="FF002060"/>
      <color rgb="FFA77692"/>
      <color rgb="FFA776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microsoft.com/office/2017/10/relationships/person" Target="persons/perso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eetMetadata" Target="metadata.xml"/></Relationships>
</file>

<file path=xl/ctrlProps/ctrlProp1.xml><?xml version="1.0" encoding="utf-8"?>
<formControlPr xmlns="http://schemas.microsoft.com/office/spreadsheetml/2009/9/main" objectType="CheckBox" checked="Checked" fmlaLink="$I$5" lockText="1" noThreeD="1"/>
</file>

<file path=xl/ctrlProps/ctrlProp2.xml><?xml version="1.0" encoding="utf-8"?>
<formControlPr xmlns="http://schemas.microsoft.com/office/spreadsheetml/2009/9/main" objectType="Spin" dx="16" fmlaLink="$R$4" max="2999" min="1900" page="10" val="20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sv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'RST-DeclaUnificada'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8.png"/><Relationship Id="rId4" Type="http://schemas.openxmlformats.org/officeDocument/2006/relationships/image" Target="../media/image1.png"/><Relationship Id="rId9" Type="http://schemas.openxmlformats.org/officeDocument/2006/relationships/hyperlink" Target="#'RST-Anticipo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image" Target="../media/image10.png"/><Relationship Id="rId3" Type="http://schemas.openxmlformats.org/officeDocument/2006/relationships/hyperlink" Target="#'RST-IVACosolidada'!A1"/><Relationship Id="rId7" Type="http://schemas.openxmlformats.org/officeDocument/2006/relationships/image" Target="../media/image3.png"/><Relationship Id="rId12" Type="http://schemas.openxmlformats.org/officeDocument/2006/relationships/hyperlink" Target="#Portada!A1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image" Target="../media/image19.png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PT_Declara_Docum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'RST-Anticipo'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PT_InformeMestro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PT_Declara_Docum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PT_Pa&#237;sporP&#225;&#237;s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PT_InformeMestro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IVA_Bimestral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IVA_Bimestral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IMPOconsumo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IVA_Bimestral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IMPOconsumo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image" Target="../media/image20.png"/><Relationship Id="rId3" Type="http://schemas.openxmlformats.org/officeDocument/2006/relationships/hyperlink" Target="#PT_InformeMestro!A1"/><Relationship Id="rId7" Type="http://schemas.openxmlformats.org/officeDocument/2006/relationships/image" Target="../media/image3.png"/><Relationship Id="rId12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image" Target="../media/image10.png"/><Relationship Id="rId5" Type="http://schemas.openxmlformats.org/officeDocument/2006/relationships/image" Target="../media/image2.svg"/><Relationship Id="rId15" Type="http://schemas.openxmlformats.org/officeDocument/2006/relationships/image" Target="../media/image21.png"/><Relationship Id="rId10" Type="http://schemas.openxmlformats.org/officeDocument/2006/relationships/hyperlink" Target="#Portada!A1"/><Relationship Id="rId4" Type="http://schemas.openxmlformats.org/officeDocument/2006/relationships/image" Target="../media/image1.png"/><Relationship Id="rId9" Type="http://schemas.openxmlformats.org/officeDocument/2006/relationships/hyperlink" Target="#IVA_Bimestral!A1"/><Relationship Id="rId14" Type="http://schemas.openxmlformats.org/officeDocument/2006/relationships/hyperlink" Target="http://www.safi.eu" TargetMode="Externa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TablaRetefuente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IMPOcarbono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hyperlink" Target="#Portada!A1"/><Relationship Id="rId3" Type="http://schemas.openxmlformats.org/officeDocument/2006/relationships/hyperlink" Target="#IVA_Cuatrimestre!A1"/><Relationship Id="rId7" Type="http://schemas.openxmlformats.org/officeDocument/2006/relationships/image" Target="../media/image3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https://www.sfai.co/contactenos/" TargetMode="External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RETEfuente!A1"/><Relationship Id="rId1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gif"/><Relationship Id="rId2" Type="http://schemas.openxmlformats.org/officeDocument/2006/relationships/hyperlink" Target="#Men&#250;!A1"/><Relationship Id="rId1" Type="http://schemas.openxmlformats.org/officeDocument/2006/relationships/image" Target="../media/image5.jp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IMPOconsumo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TablaRetefuente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image" Target="../media/image23.png"/><Relationship Id="rId3" Type="http://schemas.openxmlformats.org/officeDocument/2006/relationships/hyperlink" Target="#RETEfuente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hyperlink" Target="#Gasol_ACPM!A1"/><Relationship Id="rId4" Type="http://schemas.openxmlformats.org/officeDocument/2006/relationships/image" Target="../media/image1.png"/><Relationship Id="rId9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hyperlink" Target="http://www.sfai.co/contactenos" TargetMode="External"/><Relationship Id="rId3" Type="http://schemas.openxmlformats.org/officeDocument/2006/relationships/hyperlink" Target="#TablaRetefuente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IMPOcarbono!A1"/><Relationship Id="rId14" Type="http://schemas.openxmlformats.org/officeDocument/2006/relationships/image" Target="../media/image24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hyperlink" Target="#Portada!A1"/><Relationship Id="rId3" Type="http://schemas.openxmlformats.org/officeDocument/2006/relationships/hyperlink" Target="#Gasol_ACPM!A1"/><Relationship Id="rId7" Type="http://schemas.openxmlformats.org/officeDocument/2006/relationships/image" Target="../media/image3.png"/><Relationship Id="rId12" Type="http://schemas.openxmlformats.org/officeDocument/2006/relationships/image" Target="../media/image25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https://www.sfai.co/contactenos/" TargetMode="External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GMF!A1"/><Relationship Id="rId14" Type="http://schemas.openxmlformats.org/officeDocument/2006/relationships/image" Target="../media/image10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image" Target="../media/image26.png"/><Relationship Id="rId3" Type="http://schemas.openxmlformats.org/officeDocument/2006/relationships/hyperlink" Target="#'RST-DeclaUnificada'!A1"/><Relationship Id="rId7" Type="http://schemas.openxmlformats.org/officeDocument/2006/relationships/image" Target="../media/image3.png"/><Relationship Id="rId12" Type="http://schemas.openxmlformats.org/officeDocument/2006/relationships/hyperlink" Target="http://www.sfai.eu" TargetMode="External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image" Target="../media/image10.png"/><Relationship Id="rId5" Type="http://schemas.openxmlformats.org/officeDocument/2006/relationships/image" Target="../media/image2.svg"/><Relationship Id="rId10" Type="http://schemas.openxmlformats.org/officeDocument/2006/relationships/hyperlink" Target="#Portada!A1"/><Relationship Id="rId4" Type="http://schemas.openxmlformats.org/officeDocument/2006/relationships/image" Target="../media/image1.png"/><Relationship Id="rId9" Type="http://schemas.openxmlformats.org/officeDocument/2006/relationships/hyperlink" Target="#'RST-Anticipo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svg"/><Relationship Id="rId3" Type="http://schemas.openxmlformats.org/officeDocument/2006/relationships/hyperlink" Target="#Men&#250;!A1"/><Relationship Id="rId7" Type="http://schemas.openxmlformats.org/officeDocument/2006/relationships/image" Target="../media/image1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Certificados!A1"/><Relationship Id="rId11" Type="http://schemas.openxmlformats.org/officeDocument/2006/relationships/hyperlink" Target="#Portada!A1"/><Relationship Id="rId5" Type="http://schemas.openxmlformats.org/officeDocument/2006/relationships/image" Target="../media/image4.svg"/><Relationship Id="rId10" Type="http://schemas.openxmlformats.org/officeDocument/2006/relationships/hyperlink" Target="#IMPOcarbono!A1"/><Relationship Id="rId4" Type="http://schemas.openxmlformats.org/officeDocument/2006/relationships/image" Target="../media/image3.png"/><Relationship Id="rId9" Type="http://schemas.openxmlformats.org/officeDocument/2006/relationships/image" Target="../media/image13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GMF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ExogenaDIAN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openxmlformats.org/officeDocument/2006/relationships/hyperlink" Target="#Portada!A1"/><Relationship Id="rId3" Type="http://schemas.openxmlformats.org/officeDocument/2006/relationships/hyperlink" Target="#Certificados!A1"/><Relationship Id="rId7" Type="http://schemas.openxmlformats.org/officeDocument/2006/relationships/image" Target="../media/image3.png"/><Relationship Id="rId12" Type="http://schemas.openxmlformats.org/officeDocument/2006/relationships/image" Target="../media/image27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https://www.sfai.co/contactenos/" TargetMode="External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Supersociedades!A1"/><Relationship Id="rId14" Type="http://schemas.openxmlformats.org/officeDocument/2006/relationships/image" Target="../media/image10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hyperlink" Target="#ICA_Cali!A1"/><Relationship Id="rId3" Type="http://schemas.openxmlformats.org/officeDocument/2006/relationships/image" Target="../media/image1.png"/><Relationship Id="rId7" Type="http://schemas.openxmlformats.org/officeDocument/2006/relationships/image" Target="../media/image4.svg"/><Relationship Id="rId12" Type="http://schemas.openxmlformats.org/officeDocument/2006/relationships/image" Target="../media/image28.jpeg"/><Relationship Id="rId2" Type="http://schemas.openxmlformats.org/officeDocument/2006/relationships/hyperlink" Target="#ExogenaDIAN!A1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hyperlink" Target="http://www.sfai.co/contactenos/" TargetMode="External"/><Relationship Id="rId5" Type="http://schemas.openxmlformats.org/officeDocument/2006/relationships/hyperlink" Target="#Men&#250;!A1"/><Relationship Id="rId10" Type="http://schemas.openxmlformats.org/officeDocument/2006/relationships/image" Target="../media/image10.png"/><Relationship Id="rId4" Type="http://schemas.openxmlformats.org/officeDocument/2006/relationships/image" Target="../media/image2.svg"/><Relationship Id="rId9" Type="http://schemas.openxmlformats.org/officeDocument/2006/relationships/hyperlink" Target="#Portada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ICA_Bogot&#225;!A1"/><Relationship Id="rId3" Type="http://schemas.openxmlformats.org/officeDocument/2006/relationships/image" Target="../media/image1.png"/><Relationship Id="rId7" Type="http://schemas.openxmlformats.org/officeDocument/2006/relationships/image" Target="../media/image4.svg"/><Relationship Id="rId12" Type="http://schemas.openxmlformats.org/officeDocument/2006/relationships/image" Target="../media/image10.png"/><Relationship Id="rId2" Type="http://schemas.openxmlformats.org/officeDocument/2006/relationships/hyperlink" Target="#Supersociedades!A1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hyperlink" Target="#Portada!A1"/><Relationship Id="rId5" Type="http://schemas.openxmlformats.org/officeDocument/2006/relationships/hyperlink" Target="#Men&#250;!A1"/><Relationship Id="rId10" Type="http://schemas.openxmlformats.org/officeDocument/2006/relationships/image" Target="../media/image29.png"/><Relationship Id="rId4" Type="http://schemas.openxmlformats.org/officeDocument/2006/relationships/image" Target="../media/image2.svg"/><Relationship Id="rId9" Type="http://schemas.openxmlformats.org/officeDocument/2006/relationships/hyperlink" Target="http://www.sfai.co/contactenos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hyperlink" Target="#GrandeContribuyentes!B10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Portada!A1"/><Relationship Id="rId5" Type="http://schemas.openxmlformats.org/officeDocument/2006/relationships/image" Target="../media/image9.svg"/><Relationship Id="rId4" Type="http://schemas.openxmlformats.org/officeDocument/2006/relationships/image" Target="../media/image8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hyperlink" Target="#ICA_Medell&#237;n!A1"/><Relationship Id="rId3" Type="http://schemas.openxmlformats.org/officeDocument/2006/relationships/image" Target="../media/image1.png"/><Relationship Id="rId7" Type="http://schemas.openxmlformats.org/officeDocument/2006/relationships/image" Target="../media/image4.svg"/><Relationship Id="rId2" Type="http://schemas.openxmlformats.org/officeDocument/2006/relationships/hyperlink" Target="#ICA_Cali!A1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5" Type="http://schemas.openxmlformats.org/officeDocument/2006/relationships/hyperlink" Target="#Men&#250;!A1"/><Relationship Id="rId10" Type="http://schemas.openxmlformats.org/officeDocument/2006/relationships/image" Target="../media/image10.png"/><Relationship Id="rId4" Type="http://schemas.openxmlformats.org/officeDocument/2006/relationships/image" Target="../media/image2.svg"/><Relationship Id="rId9" Type="http://schemas.openxmlformats.org/officeDocument/2006/relationships/hyperlink" Target="#Portada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ICA_Barranquilla!A1"/><Relationship Id="rId3" Type="http://schemas.openxmlformats.org/officeDocument/2006/relationships/image" Target="../media/image1.png"/><Relationship Id="rId7" Type="http://schemas.openxmlformats.org/officeDocument/2006/relationships/image" Target="../media/image4.svg"/><Relationship Id="rId12" Type="http://schemas.openxmlformats.org/officeDocument/2006/relationships/image" Target="../media/image10.png"/><Relationship Id="rId2" Type="http://schemas.openxmlformats.org/officeDocument/2006/relationships/hyperlink" Target="#ICA_Bogot&#225;!A1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hyperlink" Target="#Portada!A1"/><Relationship Id="rId5" Type="http://schemas.openxmlformats.org/officeDocument/2006/relationships/hyperlink" Target="#Men&#250;!A1"/><Relationship Id="rId10" Type="http://schemas.openxmlformats.org/officeDocument/2006/relationships/image" Target="../media/image30.png"/><Relationship Id="rId4" Type="http://schemas.openxmlformats.org/officeDocument/2006/relationships/image" Target="../media/image2.svg"/><Relationship Id="rId9" Type="http://schemas.openxmlformats.org/officeDocument/2006/relationships/hyperlink" Target="http://www.sfai.co/contactenos/" TargetMode="Externa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hyperlink" Target="#'Otros _Datos'!A1"/><Relationship Id="rId3" Type="http://schemas.openxmlformats.org/officeDocument/2006/relationships/image" Target="../media/image1.png"/><Relationship Id="rId7" Type="http://schemas.openxmlformats.org/officeDocument/2006/relationships/image" Target="../media/image4.svg"/><Relationship Id="rId12" Type="http://schemas.openxmlformats.org/officeDocument/2006/relationships/image" Target="../media/image10.png"/><Relationship Id="rId2" Type="http://schemas.openxmlformats.org/officeDocument/2006/relationships/hyperlink" Target="#ICA_Medell&#237;n!A1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hyperlink" Target="#Portada!A1"/><Relationship Id="rId5" Type="http://schemas.openxmlformats.org/officeDocument/2006/relationships/hyperlink" Target="#Men&#250;!A1"/><Relationship Id="rId10" Type="http://schemas.openxmlformats.org/officeDocument/2006/relationships/image" Target="../media/image31.png"/><Relationship Id="rId4" Type="http://schemas.openxmlformats.org/officeDocument/2006/relationships/image" Target="../media/image2.svg"/><Relationship Id="rId9" Type="http://schemas.openxmlformats.org/officeDocument/2006/relationships/hyperlink" Target="http://www.sfai.co/contactenos/" TargetMode="Externa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hyperlink" Target="#Anual!A1"/><Relationship Id="rId3" Type="http://schemas.openxmlformats.org/officeDocument/2006/relationships/image" Target="../media/image1.png"/><Relationship Id="rId7" Type="http://schemas.openxmlformats.org/officeDocument/2006/relationships/image" Target="../media/image4.svg"/><Relationship Id="rId12" Type="http://schemas.openxmlformats.org/officeDocument/2006/relationships/image" Target="../media/image10.png"/><Relationship Id="rId2" Type="http://schemas.openxmlformats.org/officeDocument/2006/relationships/hyperlink" Target="#ICA_Barranquilla!A1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hyperlink" Target="#Portada!A1"/><Relationship Id="rId5" Type="http://schemas.openxmlformats.org/officeDocument/2006/relationships/hyperlink" Target="#Men&#250;!A1"/><Relationship Id="rId10" Type="http://schemas.openxmlformats.org/officeDocument/2006/relationships/image" Target="../media/image32.png"/><Relationship Id="rId4" Type="http://schemas.openxmlformats.org/officeDocument/2006/relationships/image" Target="../media/image2.svg"/><Relationship Id="rId9" Type="http://schemas.openxmlformats.org/officeDocument/2006/relationships/hyperlink" Target="http://www.sfai.co/contactenos/" TargetMode="Externa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'Otros _Datos'!A1"/><Relationship Id="rId7" Type="http://schemas.openxmlformats.org/officeDocument/2006/relationships/image" Target="../media/image3.png"/><Relationship Id="rId2" Type="http://schemas.openxmlformats.org/officeDocument/2006/relationships/image" Target="../media/image33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Enero!A1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Anual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Febrero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Enero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Marzo!A1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Febrero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Abril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Marzo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Mayo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Abril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Junio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PersonasJur&#237;dicas!A1"/><Relationship Id="rId3" Type="http://schemas.openxmlformats.org/officeDocument/2006/relationships/hyperlink" Target="#Men&#250;!A1"/><Relationship Id="rId7" Type="http://schemas.openxmlformats.org/officeDocument/2006/relationships/image" Target="../media/image4.sv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2.svg"/><Relationship Id="rId10" Type="http://schemas.openxmlformats.org/officeDocument/2006/relationships/image" Target="../media/image10.png"/><Relationship Id="rId4" Type="http://schemas.openxmlformats.org/officeDocument/2006/relationships/image" Target="../media/image1.png"/><Relationship Id="rId9" Type="http://schemas.openxmlformats.org/officeDocument/2006/relationships/hyperlink" Target="#Portada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Mayo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Julio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Junio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Agosto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Julio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Septiembre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Agosto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Octubre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Septiembre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Noviembre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Octubre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Diciembre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Noviembre!A1"/><Relationship Id="rId7" Type="http://schemas.openxmlformats.org/officeDocument/2006/relationships/image" Target="../media/image3.png"/><Relationship Id="rId2" Type="http://schemas.openxmlformats.org/officeDocument/2006/relationships/image" Target="../media/image3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5" Type="http://schemas.openxmlformats.org/officeDocument/2006/relationships/image" Target="../media/image2.svg"/><Relationship Id="rId4" Type="http://schemas.openxmlformats.org/officeDocument/2006/relationships/image" Target="../media/image1.png"/><Relationship Id="rId9" Type="http://schemas.openxmlformats.org/officeDocument/2006/relationships/hyperlink" Target="#Contra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Diciembre!A1"/><Relationship Id="rId7" Type="http://schemas.openxmlformats.org/officeDocument/2006/relationships/image" Target="../media/image10.png"/><Relationship Id="rId2" Type="http://schemas.openxmlformats.org/officeDocument/2006/relationships/image" Target="../media/image35.png"/><Relationship Id="rId1" Type="http://schemas.openxmlformats.org/officeDocument/2006/relationships/hyperlink" Target="http://www.sfai.co/" TargetMode="External"/><Relationship Id="rId6" Type="http://schemas.openxmlformats.org/officeDocument/2006/relationships/hyperlink" Target="#Portada!A1"/><Relationship Id="rId5" Type="http://schemas.openxmlformats.org/officeDocument/2006/relationships/image" Target="../media/image2.sv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PT_Pa&#237;sporP&#225;&#237;s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IVA_Cuatrimestr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GrandeContribuyentes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5.png"/><Relationship Id="rId4" Type="http://schemas.openxmlformats.org/officeDocument/2006/relationships/image" Target="../media/image1.png"/><Relationship Id="rId9" Type="http://schemas.openxmlformats.org/officeDocument/2006/relationships/hyperlink" Target="#PersonasNaturales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PersonasJur&#237;dicas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6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7.png"/><Relationship Id="rId4" Type="http://schemas.openxmlformats.org/officeDocument/2006/relationships/image" Target="../media/image1.png"/><Relationship Id="rId9" Type="http://schemas.openxmlformats.org/officeDocument/2006/relationships/hyperlink" Target="#'RST-DeclaUnificada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PT_Pa&#237;sporP&#225;&#237;s!A1"/><Relationship Id="rId7" Type="http://schemas.openxmlformats.org/officeDocument/2006/relationships/image" Target="../media/image3.png"/><Relationship Id="rId12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hyperlink" Target="#Portada!A1"/><Relationship Id="rId5" Type="http://schemas.openxmlformats.org/officeDocument/2006/relationships/image" Target="../media/image2.svg"/><Relationship Id="rId10" Type="http://schemas.openxmlformats.org/officeDocument/2006/relationships/image" Target="../media/image13.png"/><Relationship Id="rId4" Type="http://schemas.openxmlformats.org/officeDocument/2006/relationships/image" Target="../media/image1.png"/><Relationship Id="rId9" Type="http://schemas.openxmlformats.org/officeDocument/2006/relationships/hyperlink" Target="#IVA_Cuatrimestr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3" Type="http://schemas.openxmlformats.org/officeDocument/2006/relationships/hyperlink" Target="#PersonasNaturales!A1"/><Relationship Id="rId7" Type="http://schemas.openxmlformats.org/officeDocument/2006/relationships/image" Target="../media/image3.png"/><Relationship Id="rId2" Type="http://schemas.openxmlformats.org/officeDocument/2006/relationships/image" Target="../media/image12.png"/><Relationship Id="rId1" Type="http://schemas.openxmlformats.org/officeDocument/2006/relationships/hyperlink" Target="http://www.sfai.co" TargetMode="External"/><Relationship Id="rId6" Type="http://schemas.openxmlformats.org/officeDocument/2006/relationships/hyperlink" Target="#Men&#250;!A1"/><Relationship Id="rId11" Type="http://schemas.openxmlformats.org/officeDocument/2006/relationships/image" Target="../media/image10.png"/><Relationship Id="rId5" Type="http://schemas.openxmlformats.org/officeDocument/2006/relationships/image" Target="../media/image2.svg"/><Relationship Id="rId10" Type="http://schemas.openxmlformats.org/officeDocument/2006/relationships/hyperlink" Target="#Portada!A1"/><Relationship Id="rId4" Type="http://schemas.openxmlformats.org/officeDocument/2006/relationships/image" Target="../media/image1.png"/><Relationship Id="rId9" Type="http://schemas.openxmlformats.org/officeDocument/2006/relationships/hyperlink" Target="#'RST-IVACosolidada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34865</xdr:rowOff>
    </xdr:from>
    <xdr:to>
      <xdr:col>8</xdr:col>
      <xdr:colOff>404361</xdr:colOff>
      <xdr:row>2</xdr:row>
      <xdr:rowOff>96326</xdr:rowOff>
    </xdr:to>
    <xdr:pic>
      <xdr:nvPicPr>
        <xdr:cNvPr id="6" name="Gráfico 5" descr="Círculo con flecha a la izquierda con relleno sóli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610225" y="215840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1</xdr:row>
      <xdr:rowOff>0</xdr:rowOff>
    </xdr:from>
    <xdr:to>
      <xdr:col>9</xdr:col>
      <xdr:colOff>236146</xdr:colOff>
      <xdr:row>2</xdr:row>
      <xdr:rowOff>98484</xdr:rowOff>
    </xdr:to>
    <xdr:pic>
      <xdr:nvPicPr>
        <xdr:cNvPr id="7" name="Gráfico 6" descr="Hogar con relleno sólid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14587" y="180975"/>
          <a:ext cx="441384" cy="441384"/>
        </a:xfrm>
        <a:prstGeom prst="rect">
          <a:avLst/>
        </a:prstGeom>
      </xdr:spPr>
    </xdr:pic>
    <xdr:clientData/>
  </xdr:twoCellAnchor>
  <xdr:twoCellAnchor>
    <xdr:from>
      <xdr:col>9</xdr:col>
      <xdr:colOff>234710</xdr:colOff>
      <xdr:row>1</xdr:row>
      <xdr:rowOff>34508</xdr:rowOff>
    </xdr:from>
    <xdr:to>
      <xdr:col>10</xdr:col>
      <xdr:colOff>29471</xdr:colOff>
      <xdr:row>2</xdr:row>
      <xdr:rowOff>95969</xdr:rowOff>
    </xdr:to>
    <xdr:pic>
      <xdr:nvPicPr>
        <xdr:cNvPr id="8" name="Gráfico 7" descr="Círculo con flecha a la izquierda con relleno sólid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 rot="10643972">
          <a:off x="6454535" y="215483"/>
          <a:ext cx="404361" cy="4043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2</xdr:col>
      <xdr:colOff>685800</xdr:colOff>
      <xdr:row>5</xdr:row>
      <xdr:rowOff>161925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800100" cy="80962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543425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947787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387735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16</xdr:row>
      <xdr:rowOff>188922</xdr:rowOff>
    </xdr:from>
    <xdr:to>
      <xdr:col>6</xdr:col>
      <xdr:colOff>0</xdr:colOff>
      <xdr:row>21</xdr:row>
      <xdr:rowOff>180975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49"/>
        <a:stretch/>
      </xdr:blipFill>
      <xdr:spPr>
        <a:xfrm>
          <a:off x="1285876" y="3427422"/>
          <a:ext cx="2600324" cy="944553"/>
        </a:xfrm>
        <a:prstGeom prst="rect">
          <a:avLst/>
        </a:prstGeom>
      </xdr:spPr>
    </xdr:pic>
    <xdr:clientData/>
  </xdr:twoCellAnchor>
  <xdr:twoCellAnchor editAs="oneCell">
    <xdr:from>
      <xdr:col>5</xdr:col>
      <xdr:colOff>1038225</xdr:colOff>
      <xdr:row>0</xdr:row>
      <xdr:rowOff>76200</xdr:rowOff>
    </xdr:from>
    <xdr:to>
      <xdr:col>5</xdr:col>
      <xdr:colOff>1362075</xdr:colOff>
      <xdr:row>1</xdr:row>
      <xdr:rowOff>130628</xdr:rowOff>
    </xdr:to>
    <xdr:pic>
      <xdr:nvPicPr>
        <xdr:cNvPr id="14" name="Imagen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76200"/>
          <a:ext cx="323850" cy="4163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61562</xdr:rowOff>
    </xdr:from>
    <xdr:to>
      <xdr:col>1</xdr:col>
      <xdr:colOff>152400</xdr:colOff>
      <xdr:row>5</xdr:row>
      <xdr:rowOff>90137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23512"/>
          <a:ext cx="800100" cy="790575"/>
        </a:xfrm>
        <a:prstGeom prst="rect">
          <a:avLst/>
        </a:prstGeom>
      </xdr:spPr>
    </xdr:pic>
    <xdr:clientData/>
  </xdr:twoCellAnchor>
  <xdr:twoCellAnchor>
    <xdr:from>
      <xdr:col>10</xdr:col>
      <xdr:colOff>904875</xdr:colOff>
      <xdr:row>0</xdr:row>
      <xdr:rowOff>139640</xdr:rowOff>
    </xdr:from>
    <xdr:to>
      <xdr:col>11</xdr:col>
      <xdr:colOff>394836</xdr:colOff>
      <xdr:row>1</xdr:row>
      <xdr:rowOff>182051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886575" y="139640"/>
          <a:ext cx="404361" cy="404361"/>
        </a:xfrm>
        <a:prstGeom prst="rect">
          <a:avLst/>
        </a:prstGeom>
      </xdr:spPr>
    </xdr:pic>
    <xdr:clientData/>
  </xdr:twoCellAnchor>
  <xdr:twoCellAnchor>
    <xdr:from>
      <xdr:col>11</xdr:col>
      <xdr:colOff>394837</xdr:colOff>
      <xdr:row>0</xdr:row>
      <xdr:rowOff>104775</xdr:rowOff>
    </xdr:from>
    <xdr:to>
      <xdr:col>11</xdr:col>
      <xdr:colOff>836221</xdr:colOff>
      <xdr:row>1</xdr:row>
      <xdr:rowOff>184209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290937" y="104775"/>
          <a:ext cx="441384" cy="441384"/>
        </a:xfrm>
        <a:prstGeom prst="rect">
          <a:avLst/>
        </a:prstGeom>
      </xdr:spPr>
    </xdr:pic>
    <xdr:clientData/>
  </xdr:twoCellAnchor>
  <xdr:twoCellAnchor>
    <xdr:from>
      <xdr:col>11</xdr:col>
      <xdr:colOff>834785</xdr:colOff>
      <xdr:row>0</xdr:row>
      <xdr:rowOff>139283</xdr:rowOff>
    </xdr:from>
    <xdr:to>
      <xdr:col>11</xdr:col>
      <xdr:colOff>1239146</xdr:colOff>
      <xdr:row>1</xdr:row>
      <xdr:rowOff>181694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730885" y="13928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</xdr:row>
      <xdr:rowOff>9525</xdr:rowOff>
    </xdr:from>
    <xdr:to>
      <xdr:col>2</xdr:col>
      <xdr:colOff>690442</xdr:colOff>
      <xdr:row>6</xdr:row>
      <xdr:rowOff>21024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0" y="561975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</xdr:row>
      <xdr:rowOff>1</xdr:rowOff>
    </xdr:from>
    <xdr:to>
      <xdr:col>3</xdr:col>
      <xdr:colOff>9525</xdr:colOff>
      <xdr:row>41</xdr:row>
      <xdr:rowOff>1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33" b="1994"/>
        <a:stretch/>
      </xdr:blipFill>
      <xdr:spPr>
        <a:xfrm>
          <a:off x="76200" y="4419601"/>
          <a:ext cx="1152525" cy="3276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47625</xdr:rowOff>
    </xdr:from>
    <xdr:to>
      <xdr:col>8</xdr:col>
      <xdr:colOff>323850</xdr:colOff>
      <xdr:row>1</xdr:row>
      <xdr:rowOff>102053</xdr:rowOff>
    </xdr:to>
    <xdr:pic>
      <xdr:nvPicPr>
        <xdr:cNvPr id="8" name="Imagen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47625"/>
          <a:ext cx="323850" cy="41637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1</xdr:col>
      <xdr:colOff>133350</xdr:colOff>
      <xdr:row>6</xdr:row>
      <xdr:rowOff>123825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800100" cy="80962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543425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947787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387735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</xdr:row>
      <xdr:rowOff>19050</xdr:rowOff>
    </xdr:from>
    <xdr:to>
      <xdr:col>2</xdr:col>
      <xdr:colOff>671392</xdr:colOff>
      <xdr:row>6</xdr:row>
      <xdr:rowOff>182949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57150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5</xdr:col>
      <xdr:colOff>1314450</xdr:colOff>
      <xdr:row>0</xdr:row>
      <xdr:rowOff>47625</xdr:rowOff>
    </xdr:from>
    <xdr:to>
      <xdr:col>6</xdr:col>
      <xdr:colOff>47625</xdr:colOff>
      <xdr:row>1</xdr:row>
      <xdr:rowOff>102053</xdr:rowOff>
    </xdr:to>
    <xdr:pic>
      <xdr:nvPicPr>
        <xdr:cNvPr id="7" name="Imagen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47625"/>
          <a:ext cx="323850" cy="4163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1</xdr:col>
      <xdr:colOff>133350</xdr:colOff>
      <xdr:row>5</xdr:row>
      <xdr:rowOff>180975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0" cy="82867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752975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157337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597285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</xdr:row>
      <xdr:rowOff>19050</xdr:rowOff>
    </xdr:from>
    <xdr:to>
      <xdr:col>1</xdr:col>
      <xdr:colOff>114300</xdr:colOff>
      <xdr:row>6</xdr:row>
      <xdr:rowOff>49599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57150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</xdr:row>
      <xdr:rowOff>57150</xdr:rowOff>
    </xdr:from>
    <xdr:to>
      <xdr:col>2</xdr:col>
      <xdr:colOff>647700</xdr:colOff>
      <xdr:row>6</xdr:row>
      <xdr:rowOff>68649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550" y="609600"/>
          <a:ext cx="742950" cy="792549"/>
        </a:xfrm>
        <a:prstGeom prst="rect">
          <a:avLst/>
        </a:prstGeom>
      </xdr:spPr>
    </xdr:pic>
    <xdr:clientData/>
  </xdr:twoCellAnchor>
  <xdr:twoCellAnchor editAs="oneCell">
    <xdr:from>
      <xdr:col>5</xdr:col>
      <xdr:colOff>1304925</xdr:colOff>
      <xdr:row>0</xdr:row>
      <xdr:rowOff>47625</xdr:rowOff>
    </xdr:from>
    <xdr:to>
      <xdr:col>6</xdr:col>
      <xdr:colOff>38100</xdr:colOff>
      <xdr:row>1</xdr:row>
      <xdr:rowOff>102053</xdr:rowOff>
    </xdr:to>
    <xdr:pic>
      <xdr:nvPicPr>
        <xdr:cNvPr id="8" name="Imagen 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47625"/>
          <a:ext cx="323850" cy="41637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1</xdr:col>
      <xdr:colOff>133350</xdr:colOff>
      <xdr:row>5</xdr:row>
      <xdr:rowOff>180975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800100" cy="82867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7" name="Gráfico 6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57750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8" name="Gráfico 7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262112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9" name="Gráfico 8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702060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</xdr:row>
      <xdr:rowOff>28575</xdr:rowOff>
    </xdr:from>
    <xdr:to>
      <xdr:col>2</xdr:col>
      <xdr:colOff>695325</xdr:colOff>
      <xdr:row>6</xdr:row>
      <xdr:rowOff>40074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7175" y="581025"/>
          <a:ext cx="742950" cy="792549"/>
        </a:xfrm>
        <a:prstGeom prst="rect">
          <a:avLst/>
        </a:prstGeom>
      </xdr:spPr>
    </xdr:pic>
    <xdr:clientData/>
  </xdr:twoCellAnchor>
  <xdr:twoCellAnchor editAs="oneCell">
    <xdr:from>
      <xdr:col>5</xdr:col>
      <xdr:colOff>1285875</xdr:colOff>
      <xdr:row>0</xdr:row>
      <xdr:rowOff>57150</xdr:rowOff>
    </xdr:from>
    <xdr:to>
      <xdr:col>7</xdr:col>
      <xdr:colOff>47625</xdr:colOff>
      <xdr:row>1</xdr:row>
      <xdr:rowOff>111578</xdr:rowOff>
    </xdr:to>
    <xdr:pic>
      <xdr:nvPicPr>
        <xdr:cNvPr id="2" name="Imagen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57150"/>
          <a:ext cx="323850" cy="41637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61562</xdr:rowOff>
    </xdr:from>
    <xdr:to>
      <xdr:col>1</xdr:col>
      <xdr:colOff>152400</xdr:colOff>
      <xdr:row>5</xdr:row>
      <xdr:rowOff>109187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9589EF-E258-451D-836A-4DCC9DB08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23512"/>
          <a:ext cx="0" cy="828675"/>
        </a:xfrm>
        <a:prstGeom prst="rect">
          <a:avLst/>
        </a:prstGeom>
      </xdr:spPr>
    </xdr:pic>
    <xdr:clientData/>
  </xdr:twoCellAnchor>
  <xdr:twoCellAnchor>
    <xdr:from>
      <xdr:col>10</xdr:col>
      <xdr:colOff>904875</xdr:colOff>
      <xdr:row>0</xdr:row>
      <xdr:rowOff>139640</xdr:rowOff>
    </xdr:from>
    <xdr:to>
      <xdr:col>11</xdr:col>
      <xdr:colOff>394836</xdr:colOff>
      <xdr:row>1</xdr:row>
      <xdr:rowOff>182051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F70931-5033-4AD4-ADC5-A758B7475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7305675" y="139640"/>
          <a:ext cx="404361" cy="404361"/>
        </a:xfrm>
        <a:prstGeom prst="rect">
          <a:avLst/>
        </a:prstGeom>
      </xdr:spPr>
    </xdr:pic>
    <xdr:clientData/>
  </xdr:twoCellAnchor>
  <xdr:twoCellAnchor>
    <xdr:from>
      <xdr:col>11</xdr:col>
      <xdr:colOff>394837</xdr:colOff>
      <xdr:row>0</xdr:row>
      <xdr:rowOff>104775</xdr:rowOff>
    </xdr:from>
    <xdr:to>
      <xdr:col>11</xdr:col>
      <xdr:colOff>836221</xdr:colOff>
      <xdr:row>1</xdr:row>
      <xdr:rowOff>184209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78E6662-AEBB-4086-B472-8A144177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710037" y="104775"/>
          <a:ext cx="441384" cy="441384"/>
        </a:xfrm>
        <a:prstGeom prst="rect">
          <a:avLst/>
        </a:prstGeom>
      </xdr:spPr>
    </xdr:pic>
    <xdr:clientData/>
  </xdr:twoCellAnchor>
  <xdr:twoCellAnchor>
    <xdr:from>
      <xdr:col>11</xdr:col>
      <xdr:colOff>834785</xdr:colOff>
      <xdr:row>0</xdr:row>
      <xdr:rowOff>139283</xdr:rowOff>
    </xdr:from>
    <xdr:to>
      <xdr:col>11</xdr:col>
      <xdr:colOff>1239146</xdr:colOff>
      <xdr:row>1</xdr:row>
      <xdr:rowOff>181694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93941DF-D146-4414-9E15-90EC58CCE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8149985" y="13928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</xdr:row>
      <xdr:rowOff>9525</xdr:rowOff>
    </xdr:from>
    <xdr:to>
      <xdr:col>1</xdr:col>
      <xdr:colOff>133350</xdr:colOff>
      <xdr:row>6</xdr:row>
      <xdr:rowOff>40074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5768F7-E34F-4EFE-9383-73DF8B804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0" y="561975"/>
          <a:ext cx="0" cy="81159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</xdr:row>
      <xdr:rowOff>95250</xdr:rowOff>
    </xdr:from>
    <xdr:to>
      <xdr:col>2</xdr:col>
      <xdr:colOff>766642</xdr:colOff>
      <xdr:row>5</xdr:row>
      <xdr:rowOff>106749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D6AE21D-F408-4DE9-9DD4-A83E2EFE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6700" y="45720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742950</xdr:colOff>
      <xdr:row>0</xdr:row>
      <xdr:rowOff>66675</xdr:rowOff>
    </xdr:from>
    <xdr:to>
      <xdr:col>8</xdr:col>
      <xdr:colOff>152400</xdr:colOff>
      <xdr:row>1</xdr:row>
      <xdr:rowOff>121103</xdr:rowOff>
    </xdr:to>
    <xdr:pic>
      <xdr:nvPicPr>
        <xdr:cNvPr id="8" name="Imagen 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A283561-1E05-48E9-BFE1-81351ACD0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66675"/>
          <a:ext cx="323850" cy="41637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61562</xdr:rowOff>
    </xdr:from>
    <xdr:to>
      <xdr:col>1</xdr:col>
      <xdr:colOff>152400</xdr:colOff>
      <xdr:row>5</xdr:row>
      <xdr:rowOff>109187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23512"/>
          <a:ext cx="0" cy="809625"/>
        </a:xfrm>
        <a:prstGeom prst="rect">
          <a:avLst/>
        </a:prstGeom>
      </xdr:spPr>
    </xdr:pic>
    <xdr:clientData/>
  </xdr:twoCellAnchor>
  <xdr:twoCellAnchor>
    <xdr:from>
      <xdr:col>10</xdr:col>
      <xdr:colOff>904875</xdr:colOff>
      <xdr:row>0</xdr:row>
      <xdr:rowOff>139640</xdr:rowOff>
    </xdr:from>
    <xdr:to>
      <xdr:col>11</xdr:col>
      <xdr:colOff>394836</xdr:colOff>
      <xdr:row>1</xdr:row>
      <xdr:rowOff>182051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7267575" y="139640"/>
          <a:ext cx="404361" cy="404361"/>
        </a:xfrm>
        <a:prstGeom prst="rect">
          <a:avLst/>
        </a:prstGeom>
      </xdr:spPr>
    </xdr:pic>
    <xdr:clientData/>
  </xdr:twoCellAnchor>
  <xdr:twoCellAnchor>
    <xdr:from>
      <xdr:col>11</xdr:col>
      <xdr:colOff>394837</xdr:colOff>
      <xdr:row>0</xdr:row>
      <xdr:rowOff>104775</xdr:rowOff>
    </xdr:from>
    <xdr:to>
      <xdr:col>11</xdr:col>
      <xdr:colOff>836221</xdr:colOff>
      <xdr:row>1</xdr:row>
      <xdr:rowOff>184209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671937" y="104775"/>
          <a:ext cx="441384" cy="441384"/>
        </a:xfrm>
        <a:prstGeom prst="rect">
          <a:avLst/>
        </a:prstGeom>
      </xdr:spPr>
    </xdr:pic>
    <xdr:clientData/>
  </xdr:twoCellAnchor>
  <xdr:twoCellAnchor>
    <xdr:from>
      <xdr:col>11</xdr:col>
      <xdr:colOff>834785</xdr:colOff>
      <xdr:row>0</xdr:row>
      <xdr:rowOff>139283</xdr:rowOff>
    </xdr:from>
    <xdr:to>
      <xdr:col>11</xdr:col>
      <xdr:colOff>1239146</xdr:colOff>
      <xdr:row>1</xdr:row>
      <xdr:rowOff>181694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8111885" y="13928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</xdr:row>
      <xdr:rowOff>9525</xdr:rowOff>
    </xdr:from>
    <xdr:to>
      <xdr:col>1</xdr:col>
      <xdr:colOff>133350</xdr:colOff>
      <xdr:row>6</xdr:row>
      <xdr:rowOff>40074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0" y="561975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</xdr:row>
      <xdr:rowOff>95250</xdr:rowOff>
    </xdr:from>
    <xdr:to>
      <xdr:col>2</xdr:col>
      <xdr:colOff>766642</xdr:colOff>
      <xdr:row>5</xdr:row>
      <xdr:rowOff>106749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6700" y="45720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742950</xdr:colOff>
      <xdr:row>0</xdr:row>
      <xdr:rowOff>66675</xdr:rowOff>
    </xdr:from>
    <xdr:to>
      <xdr:col>8</xdr:col>
      <xdr:colOff>152400</xdr:colOff>
      <xdr:row>1</xdr:row>
      <xdr:rowOff>121103</xdr:rowOff>
    </xdr:to>
    <xdr:pic>
      <xdr:nvPicPr>
        <xdr:cNvPr id="8" name="Imagen 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66675"/>
          <a:ext cx="323850" cy="41637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</xdr:row>
      <xdr:rowOff>114300</xdr:rowOff>
    </xdr:from>
    <xdr:to>
      <xdr:col>1</xdr:col>
      <xdr:colOff>133350</xdr:colOff>
      <xdr:row>6</xdr:row>
      <xdr:rowOff>66675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0" cy="847725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1</xdr:row>
      <xdr:rowOff>34865</xdr:rowOff>
    </xdr:from>
    <xdr:to>
      <xdr:col>9</xdr:col>
      <xdr:colOff>404361</xdr:colOff>
      <xdr:row>2</xdr:row>
      <xdr:rowOff>77276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981575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9</xdr:col>
      <xdr:colOff>404362</xdr:colOff>
      <xdr:row>1</xdr:row>
      <xdr:rowOff>0</xdr:rowOff>
    </xdr:from>
    <xdr:to>
      <xdr:col>9</xdr:col>
      <xdr:colOff>845746</xdr:colOff>
      <xdr:row>2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385937" y="0"/>
          <a:ext cx="441384" cy="441384"/>
        </a:xfrm>
        <a:prstGeom prst="rect">
          <a:avLst/>
        </a:prstGeom>
      </xdr:spPr>
    </xdr:pic>
    <xdr:clientData/>
  </xdr:twoCellAnchor>
  <xdr:twoCellAnchor>
    <xdr:from>
      <xdr:col>9</xdr:col>
      <xdr:colOff>844310</xdr:colOff>
      <xdr:row>1</xdr:row>
      <xdr:rowOff>34508</xdr:rowOff>
    </xdr:from>
    <xdr:to>
      <xdr:col>9</xdr:col>
      <xdr:colOff>1248671</xdr:colOff>
      <xdr:row>2</xdr:row>
      <xdr:rowOff>76919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825885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19050</xdr:rowOff>
    </xdr:from>
    <xdr:to>
      <xdr:col>7</xdr:col>
      <xdr:colOff>400050</xdr:colOff>
      <xdr:row>2</xdr:row>
      <xdr:rowOff>114300</xdr:rowOff>
    </xdr:to>
    <xdr:pic>
      <xdr:nvPicPr>
        <xdr:cNvPr id="6" name="Imagen 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209550"/>
          <a:ext cx="40005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</xdr:row>
      <xdr:rowOff>76200</xdr:rowOff>
    </xdr:from>
    <xdr:to>
      <xdr:col>2</xdr:col>
      <xdr:colOff>619125</xdr:colOff>
      <xdr:row>6</xdr:row>
      <xdr:rowOff>144849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8125" y="819150"/>
          <a:ext cx="685800" cy="79254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13</xdr:row>
      <xdr:rowOff>89157</xdr:rowOff>
    </xdr:from>
    <xdr:to>
      <xdr:col>8</xdr:col>
      <xdr:colOff>123825</xdr:colOff>
      <xdr:row>22</xdr:row>
      <xdr:rowOff>144697</xdr:rowOff>
    </xdr:to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080007"/>
          <a:ext cx="4800600" cy="194149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15</xdr:row>
      <xdr:rowOff>171450</xdr:rowOff>
    </xdr:from>
    <xdr:to>
      <xdr:col>9</xdr:col>
      <xdr:colOff>1752600</xdr:colOff>
      <xdr:row>20</xdr:row>
      <xdr:rowOff>47626</xdr:rowOff>
    </xdr:to>
    <xdr:pic>
      <xdr:nvPicPr>
        <xdr:cNvPr id="10" name="Imagen 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4376" t="12316" r="85311" b="78701"/>
        <a:stretch/>
      </xdr:blipFill>
      <xdr:spPr>
        <a:xfrm>
          <a:off x="6153150" y="3581400"/>
          <a:ext cx="1885950" cy="923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1</xdr:col>
      <xdr:colOff>133350</xdr:colOff>
      <xdr:row>5</xdr:row>
      <xdr:rowOff>161925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FF01C0-AC30-4969-A7BD-5B72A8E38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0" cy="82867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40CA032-50F6-4B2F-B30B-ECB0F4E1B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524500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4D0F00E-D0B3-4D6A-B902-2BA281C7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928862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A71681E-84FF-4F09-82FC-E9C798C6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6368810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</xdr:row>
      <xdr:rowOff>66675</xdr:rowOff>
    </xdr:from>
    <xdr:to>
      <xdr:col>2</xdr:col>
      <xdr:colOff>647700</xdr:colOff>
      <xdr:row>5</xdr:row>
      <xdr:rowOff>78174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C58FE6-799D-4F7F-84C7-D4737EFB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428625"/>
          <a:ext cx="723900" cy="792549"/>
        </a:xfrm>
        <a:prstGeom prst="rect">
          <a:avLst/>
        </a:prstGeom>
      </xdr:spPr>
    </xdr:pic>
    <xdr:clientData/>
  </xdr:twoCellAnchor>
  <xdr:twoCellAnchor editAs="oneCell">
    <xdr:from>
      <xdr:col>5</xdr:col>
      <xdr:colOff>393700</xdr:colOff>
      <xdr:row>0</xdr:row>
      <xdr:rowOff>82550</xdr:rowOff>
    </xdr:from>
    <xdr:to>
      <xdr:col>5</xdr:col>
      <xdr:colOff>717550</xdr:colOff>
      <xdr:row>1</xdr:row>
      <xdr:rowOff>136978</xdr:rowOff>
    </xdr:to>
    <xdr:pic>
      <xdr:nvPicPr>
        <xdr:cNvPr id="7" name="Imagen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43A7601-244C-48EF-93FB-DB836FC3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5975" y="82550"/>
          <a:ext cx="323850" cy="41637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61562</xdr:rowOff>
    </xdr:from>
    <xdr:to>
      <xdr:col>1</xdr:col>
      <xdr:colOff>152400</xdr:colOff>
      <xdr:row>5</xdr:row>
      <xdr:rowOff>128237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23512"/>
          <a:ext cx="0" cy="828675"/>
        </a:xfrm>
        <a:prstGeom prst="rect">
          <a:avLst/>
        </a:prstGeom>
      </xdr:spPr>
    </xdr:pic>
    <xdr:clientData/>
  </xdr:twoCellAnchor>
  <xdr:twoCellAnchor>
    <xdr:from>
      <xdr:col>10</xdr:col>
      <xdr:colOff>904875</xdr:colOff>
      <xdr:row>0</xdr:row>
      <xdr:rowOff>139640</xdr:rowOff>
    </xdr:from>
    <xdr:to>
      <xdr:col>11</xdr:col>
      <xdr:colOff>394836</xdr:colOff>
      <xdr:row>1</xdr:row>
      <xdr:rowOff>182051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7267575" y="139640"/>
          <a:ext cx="404361" cy="404361"/>
        </a:xfrm>
        <a:prstGeom prst="rect">
          <a:avLst/>
        </a:prstGeom>
      </xdr:spPr>
    </xdr:pic>
    <xdr:clientData/>
  </xdr:twoCellAnchor>
  <xdr:twoCellAnchor>
    <xdr:from>
      <xdr:col>11</xdr:col>
      <xdr:colOff>394837</xdr:colOff>
      <xdr:row>0</xdr:row>
      <xdr:rowOff>104775</xdr:rowOff>
    </xdr:from>
    <xdr:to>
      <xdr:col>11</xdr:col>
      <xdr:colOff>836221</xdr:colOff>
      <xdr:row>1</xdr:row>
      <xdr:rowOff>184209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671937" y="104775"/>
          <a:ext cx="441384" cy="441384"/>
        </a:xfrm>
        <a:prstGeom prst="rect">
          <a:avLst/>
        </a:prstGeom>
      </xdr:spPr>
    </xdr:pic>
    <xdr:clientData/>
  </xdr:twoCellAnchor>
  <xdr:twoCellAnchor>
    <xdr:from>
      <xdr:col>11</xdr:col>
      <xdr:colOff>834785</xdr:colOff>
      <xdr:row>0</xdr:row>
      <xdr:rowOff>139283</xdr:rowOff>
    </xdr:from>
    <xdr:to>
      <xdr:col>11</xdr:col>
      <xdr:colOff>1239146</xdr:colOff>
      <xdr:row>1</xdr:row>
      <xdr:rowOff>181694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8111885" y="13928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</xdr:row>
      <xdr:rowOff>9525</xdr:rowOff>
    </xdr:from>
    <xdr:to>
      <xdr:col>1</xdr:col>
      <xdr:colOff>133350</xdr:colOff>
      <xdr:row>6</xdr:row>
      <xdr:rowOff>59124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0" y="561975"/>
          <a:ext cx="0" cy="81159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171450</xdr:rowOff>
    </xdr:from>
    <xdr:to>
      <xdr:col>1</xdr:col>
      <xdr:colOff>180975</xdr:colOff>
      <xdr:row>6</xdr:row>
      <xdr:rowOff>11499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8125" y="53340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</xdr:row>
      <xdr:rowOff>0</xdr:rowOff>
    </xdr:from>
    <xdr:to>
      <xdr:col>2</xdr:col>
      <xdr:colOff>690442</xdr:colOff>
      <xdr:row>6</xdr:row>
      <xdr:rowOff>11499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0" y="55245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23</xdr:row>
      <xdr:rowOff>1</xdr:rowOff>
    </xdr:from>
    <xdr:to>
      <xdr:col>3</xdr:col>
      <xdr:colOff>0</xdr:colOff>
      <xdr:row>39</xdr:row>
      <xdr:rowOff>183477</xdr:rowOff>
    </xdr:to>
    <xdr:pic>
      <xdr:nvPicPr>
        <xdr:cNvPr id="12" name="Imagen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8" t="914" r="10145"/>
        <a:stretch/>
      </xdr:blipFill>
      <xdr:spPr>
        <a:xfrm>
          <a:off x="66674" y="4419601"/>
          <a:ext cx="1152526" cy="3174326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295275</xdr:colOff>
      <xdr:row>0</xdr:row>
      <xdr:rowOff>57150</xdr:rowOff>
    </xdr:from>
    <xdr:to>
      <xdr:col>8</xdr:col>
      <xdr:colOff>619125</xdr:colOff>
      <xdr:row>1</xdr:row>
      <xdr:rowOff>111578</xdr:rowOff>
    </xdr:to>
    <xdr:pic>
      <xdr:nvPicPr>
        <xdr:cNvPr id="13" name="Imagen 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57150"/>
          <a:ext cx="323850" cy="416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31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0C11D50-A177-16C0-B356-0EAE36DA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49050" cy="6429375"/>
        </a:xfrm>
        <a:prstGeom prst="rect">
          <a:avLst/>
        </a:prstGeom>
      </xdr:spPr>
    </xdr:pic>
    <xdr:clientData/>
  </xdr:twoCellAnchor>
  <xdr:twoCellAnchor>
    <xdr:from>
      <xdr:col>6</xdr:col>
      <xdr:colOff>752475</xdr:colOff>
      <xdr:row>25</xdr:row>
      <xdr:rowOff>133350</xdr:rowOff>
    </xdr:from>
    <xdr:to>
      <xdr:col>9</xdr:col>
      <xdr:colOff>666750</xdr:colOff>
      <xdr:row>29</xdr:row>
      <xdr:rowOff>28575</xdr:rowOff>
    </xdr:to>
    <xdr:sp macro="" textlink="">
      <xdr:nvSpPr>
        <xdr:cNvPr id="4" name="Cuadro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162550" y="5553075"/>
          <a:ext cx="220027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800">
              <a:solidFill>
                <a:srgbClr val="FFFF00"/>
              </a:solidFill>
            </a:rPr>
            <a:t>Haga Clic aquí para ir al</a:t>
          </a:r>
          <a:r>
            <a:rPr lang="es-CO" sz="1800" baseline="0">
              <a:solidFill>
                <a:srgbClr val="FFFF00"/>
              </a:solidFill>
            </a:rPr>
            <a:t> contenido </a:t>
          </a:r>
          <a:endParaRPr lang="es-CO" sz="18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5</xdr:col>
      <xdr:colOff>361950</xdr:colOff>
      <xdr:row>24</xdr:row>
      <xdr:rowOff>85725</xdr:rowOff>
    </xdr:from>
    <xdr:to>
      <xdr:col>6</xdr:col>
      <xdr:colOff>714375</xdr:colOff>
      <xdr:row>31</xdr:row>
      <xdr:rowOff>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5314950"/>
          <a:ext cx="1114425" cy="11144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61562</xdr:rowOff>
    </xdr:from>
    <xdr:to>
      <xdr:col>1</xdr:col>
      <xdr:colOff>152400</xdr:colOff>
      <xdr:row>7</xdr:row>
      <xdr:rowOff>166337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23512"/>
          <a:ext cx="0" cy="828675"/>
        </a:xfrm>
        <a:prstGeom prst="rect">
          <a:avLst/>
        </a:prstGeom>
      </xdr:spPr>
    </xdr:pic>
    <xdr:clientData/>
  </xdr:twoCellAnchor>
  <xdr:twoCellAnchor>
    <xdr:from>
      <xdr:col>10</xdr:col>
      <xdr:colOff>904875</xdr:colOff>
      <xdr:row>0</xdr:row>
      <xdr:rowOff>139640</xdr:rowOff>
    </xdr:from>
    <xdr:to>
      <xdr:col>11</xdr:col>
      <xdr:colOff>394836</xdr:colOff>
      <xdr:row>1</xdr:row>
      <xdr:rowOff>182051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7267575" y="139640"/>
          <a:ext cx="404361" cy="404361"/>
        </a:xfrm>
        <a:prstGeom prst="rect">
          <a:avLst/>
        </a:prstGeom>
      </xdr:spPr>
    </xdr:pic>
    <xdr:clientData/>
  </xdr:twoCellAnchor>
  <xdr:twoCellAnchor>
    <xdr:from>
      <xdr:col>11</xdr:col>
      <xdr:colOff>394837</xdr:colOff>
      <xdr:row>0</xdr:row>
      <xdr:rowOff>104775</xdr:rowOff>
    </xdr:from>
    <xdr:to>
      <xdr:col>11</xdr:col>
      <xdr:colOff>836221</xdr:colOff>
      <xdr:row>1</xdr:row>
      <xdr:rowOff>184209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671937" y="104775"/>
          <a:ext cx="441384" cy="441384"/>
        </a:xfrm>
        <a:prstGeom prst="rect">
          <a:avLst/>
        </a:prstGeom>
      </xdr:spPr>
    </xdr:pic>
    <xdr:clientData/>
  </xdr:twoCellAnchor>
  <xdr:twoCellAnchor>
    <xdr:from>
      <xdr:col>11</xdr:col>
      <xdr:colOff>834785</xdr:colOff>
      <xdr:row>0</xdr:row>
      <xdr:rowOff>139283</xdr:rowOff>
    </xdr:from>
    <xdr:to>
      <xdr:col>11</xdr:col>
      <xdr:colOff>1239146</xdr:colOff>
      <xdr:row>1</xdr:row>
      <xdr:rowOff>181694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8111885" y="13928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171450</xdr:rowOff>
    </xdr:from>
    <xdr:to>
      <xdr:col>1</xdr:col>
      <xdr:colOff>180975</xdr:colOff>
      <xdr:row>9</xdr:row>
      <xdr:rowOff>49599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8125" y="53340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0</xdr:row>
      <xdr:rowOff>152400</xdr:rowOff>
    </xdr:from>
    <xdr:to>
      <xdr:col>2</xdr:col>
      <xdr:colOff>609600</xdr:colOff>
      <xdr:row>6</xdr:row>
      <xdr:rowOff>59124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333375"/>
          <a:ext cx="685800" cy="792549"/>
        </a:xfrm>
        <a:prstGeom prst="rect">
          <a:avLst/>
        </a:prstGeom>
      </xdr:spPr>
    </xdr:pic>
    <xdr:clientData/>
  </xdr:twoCellAnchor>
  <xdr:twoCellAnchor editAs="oneCell">
    <xdr:from>
      <xdr:col>7</xdr:col>
      <xdr:colOff>847725</xdr:colOff>
      <xdr:row>0</xdr:row>
      <xdr:rowOff>133350</xdr:rowOff>
    </xdr:from>
    <xdr:to>
      <xdr:col>8</xdr:col>
      <xdr:colOff>257175</xdr:colOff>
      <xdr:row>1</xdr:row>
      <xdr:rowOff>216353</xdr:rowOff>
    </xdr:to>
    <xdr:pic>
      <xdr:nvPicPr>
        <xdr:cNvPr id="6" name="Imagen 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314325"/>
          <a:ext cx="323850" cy="41637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114300</xdr:rowOff>
    </xdr:from>
    <xdr:to>
      <xdr:col>1</xdr:col>
      <xdr:colOff>0</xdr:colOff>
      <xdr:row>4</xdr:row>
      <xdr:rowOff>381000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0" cy="828675"/>
        </a:xfrm>
        <a:prstGeom prst="rect">
          <a:avLst/>
        </a:prstGeom>
      </xdr:spPr>
    </xdr:pic>
    <xdr:clientData/>
  </xdr:twoCellAnchor>
  <xdr:twoCellAnchor>
    <xdr:from>
      <xdr:col>5</xdr:col>
      <xdr:colOff>4848225</xdr:colOff>
      <xdr:row>0</xdr:row>
      <xdr:rowOff>0</xdr:rowOff>
    </xdr:from>
    <xdr:to>
      <xdr:col>5</xdr:col>
      <xdr:colOff>5252586</xdr:colOff>
      <xdr:row>1</xdr:row>
      <xdr:rowOff>42411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505575" y="0"/>
          <a:ext cx="404361" cy="404361"/>
        </a:xfrm>
        <a:prstGeom prst="rect">
          <a:avLst/>
        </a:prstGeom>
      </xdr:spPr>
    </xdr:pic>
    <xdr:clientData/>
  </xdr:twoCellAnchor>
  <xdr:twoCellAnchor>
    <xdr:from>
      <xdr:col>5</xdr:col>
      <xdr:colOff>5490712</xdr:colOff>
      <xdr:row>0</xdr:row>
      <xdr:rowOff>0</xdr:rowOff>
    </xdr:from>
    <xdr:to>
      <xdr:col>5</xdr:col>
      <xdr:colOff>5932096</xdr:colOff>
      <xdr:row>1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48062" y="0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844310</xdr:colOff>
      <xdr:row>0</xdr:row>
      <xdr:rowOff>34508</xdr:rowOff>
    </xdr:from>
    <xdr:to>
      <xdr:col>7</xdr:col>
      <xdr:colOff>1248671</xdr:colOff>
      <xdr:row>1</xdr:row>
      <xdr:rowOff>76919</xdr:rowOff>
    </xdr:to>
    <xdr:pic>
      <xdr:nvPicPr>
        <xdr:cNvPr id="5" name="Gráfico 4" descr="Círculo con flecha a la izquierda con relleno sólid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6368810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66675</xdr:rowOff>
    </xdr:from>
    <xdr:to>
      <xdr:col>2</xdr:col>
      <xdr:colOff>466725</xdr:colOff>
      <xdr:row>4</xdr:row>
      <xdr:rowOff>297249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" y="428625"/>
          <a:ext cx="714375" cy="811599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404361</xdr:colOff>
      <xdr:row>1</xdr:row>
      <xdr:rowOff>42411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839075" y="0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5</xdr:col>
      <xdr:colOff>3305175</xdr:colOff>
      <xdr:row>0</xdr:row>
      <xdr:rowOff>47625</xdr:rowOff>
    </xdr:from>
    <xdr:to>
      <xdr:col>5</xdr:col>
      <xdr:colOff>3629025</xdr:colOff>
      <xdr:row>1</xdr:row>
      <xdr:rowOff>102053</xdr:rowOff>
    </xdr:to>
    <xdr:pic>
      <xdr:nvPicPr>
        <xdr:cNvPr id="7" name="Imagen 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47625"/>
          <a:ext cx="323850" cy="41637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</xdr:row>
      <xdr:rowOff>76200</xdr:rowOff>
    </xdr:from>
    <xdr:to>
      <xdr:col>8</xdr:col>
      <xdr:colOff>819151</xdr:colOff>
      <xdr:row>16</xdr:row>
      <xdr:rowOff>190499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6B6187C-1F0C-C6EC-CF17-231405F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962150"/>
          <a:ext cx="9201151" cy="2019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1</xdr:col>
      <xdr:colOff>133350</xdr:colOff>
      <xdr:row>5</xdr:row>
      <xdr:rowOff>161925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800100" cy="80962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543425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947787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387735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</xdr:row>
      <xdr:rowOff>66675</xdr:rowOff>
    </xdr:from>
    <xdr:to>
      <xdr:col>2</xdr:col>
      <xdr:colOff>647700</xdr:colOff>
      <xdr:row>5</xdr:row>
      <xdr:rowOff>78174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428625"/>
          <a:ext cx="723900" cy="798899"/>
        </a:xfrm>
        <a:prstGeom prst="rect">
          <a:avLst/>
        </a:prstGeom>
      </xdr:spPr>
    </xdr:pic>
    <xdr:clientData/>
  </xdr:twoCellAnchor>
  <xdr:twoCellAnchor editAs="oneCell">
    <xdr:from>
      <xdr:col>5</xdr:col>
      <xdr:colOff>393700</xdr:colOff>
      <xdr:row>0</xdr:row>
      <xdr:rowOff>82550</xdr:rowOff>
    </xdr:from>
    <xdr:to>
      <xdr:col>5</xdr:col>
      <xdr:colOff>717550</xdr:colOff>
      <xdr:row>1</xdr:row>
      <xdr:rowOff>136978</xdr:rowOff>
    </xdr:to>
    <xdr:pic>
      <xdr:nvPicPr>
        <xdr:cNvPr id="9" name="Imagen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9150" y="82550"/>
          <a:ext cx="323850" cy="416378"/>
        </a:xfrm>
        <a:prstGeom prst="rect">
          <a:avLst/>
        </a:prstGeom>
      </xdr:spPr>
    </xdr:pic>
    <xdr:clientData/>
  </xdr:twoCellAnchor>
  <xdr:twoCellAnchor editAs="oneCell">
    <xdr:from>
      <xdr:col>7</xdr:col>
      <xdr:colOff>13137</xdr:colOff>
      <xdr:row>10</xdr:row>
      <xdr:rowOff>6570</xdr:rowOff>
    </xdr:from>
    <xdr:to>
      <xdr:col>8</xdr:col>
      <xdr:colOff>1346638</xdr:colOff>
      <xdr:row>23</xdr:row>
      <xdr:rowOff>170794</xdr:rowOff>
    </xdr:to>
    <xdr:pic>
      <xdr:nvPicPr>
        <xdr:cNvPr id="12" name="Imagen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1120" y="2102070"/>
          <a:ext cx="2246587" cy="28575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1</xdr:col>
      <xdr:colOff>133350</xdr:colOff>
      <xdr:row>5</xdr:row>
      <xdr:rowOff>180975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0" cy="82867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524500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928862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6368810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</xdr:row>
      <xdr:rowOff>66675</xdr:rowOff>
    </xdr:from>
    <xdr:to>
      <xdr:col>1</xdr:col>
      <xdr:colOff>171450</xdr:colOff>
      <xdr:row>5</xdr:row>
      <xdr:rowOff>97224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428625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76200</xdr:rowOff>
    </xdr:from>
    <xdr:to>
      <xdr:col>2</xdr:col>
      <xdr:colOff>695325</xdr:colOff>
      <xdr:row>5</xdr:row>
      <xdr:rowOff>87699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8125" y="438150"/>
          <a:ext cx="762000" cy="792549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10</xdr:row>
      <xdr:rowOff>47625</xdr:rowOff>
    </xdr:from>
    <xdr:to>
      <xdr:col>8</xdr:col>
      <xdr:colOff>1343025</xdr:colOff>
      <xdr:row>21</xdr:row>
      <xdr:rowOff>180975</xdr:rowOff>
    </xdr:to>
    <xdr:pic>
      <xdr:nvPicPr>
        <xdr:cNvPr id="9" name="Imagen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1" y="2143125"/>
          <a:ext cx="2219324" cy="22955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0</xdr:row>
      <xdr:rowOff>85725</xdr:rowOff>
    </xdr:from>
    <xdr:to>
      <xdr:col>5</xdr:col>
      <xdr:colOff>904875</xdr:colOff>
      <xdr:row>1</xdr:row>
      <xdr:rowOff>140153</xdr:rowOff>
    </xdr:to>
    <xdr:pic>
      <xdr:nvPicPr>
        <xdr:cNvPr id="10" name="Imagen 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85725"/>
          <a:ext cx="323850" cy="41637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2</xdr:col>
      <xdr:colOff>685800</xdr:colOff>
      <xdr:row>5</xdr:row>
      <xdr:rowOff>161925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658B07-ABF4-43E3-9F15-F2B9E8D8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800100" cy="82867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35B264-11BB-4E7F-BF1A-EB50AEEC7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57750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A1E764-EA96-45DD-9D46-B79634F24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262112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DFF0090-BAAA-46EC-9972-BFA8B798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702060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5</xdr:col>
      <xdr:colOff>1038225</xdr:colOff>
      <xdr:row>0</xdr:row>
      <xdr:rowOff>76200</xdr:rowOff>
    </xdr:from>
    <xdr:to>
      <xdr:col>5</xdr:col>
      <xdr:colOff>1362075</xdr:colOff>
      <xdr:row>1</xdr:row>
      <xdr:rowOff>130628</xdr:rowOff>
    </xdr:to>
    <xdr:pic>
      <xdr:nvPicPr>
        <xdr:cNvPr id="7" name="Imagen 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1E21818-CF16-4496-BF84-F4532E0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76200"/>
          <a:ext cx="323850" cy="416378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17</xdr:row>
      <xdr:rowOff>19049</xdr:rowOff>
    </xdr:from>
    <xdr:to>
      <xdr:col>5</xdr:col>
      <xdr:colOff>1219200</xdr:colOff>
      <xdr:row>21</xdr:row>
      <xdr:rowOff>152400</xdr:rowOff>
    </xdr:to>
    <xdr:pic>
      <xdr:nvPicPr>
        <xdr:cNvPr id="8" name="Imagen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1CCBC7A-808F-FD21-7DD7-D0DBB97F7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4" b="13709"/>
        <a:stretch/>
      </xdr:blipFill>
      <xdr:spPr bwMode="auto">
        <a:xfrm>
          <a:off x="1390650" y="3448049"/>
          <a:ext cx="2333625" cy="895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61562</xdr:rowOff>
    </xdr:from>
    <xdr:to>
      <xdr:col>1</xdr:col>
      <xdr:colOff>152400</xdr:colOff>
      <xdr:row>5</xdr:row>
      <xdr:rowOff>128237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23512"/>
          <a:ext cx="0" cy="828675"/>
        </a:xfrm>
        <a:prstGeom prst="rect">
          <a:avLst/>
        </a:prstGeom>
      </xdr:spPr>
    </xdr:pic>
    <xdr:clientData/>
  </xdr:twoCellAnchor>
  <xdr:twoCellAnchor>
    <xdr:from>
      <xdr:col>11</xdr:col>
      <xdr:colOff>309112</xdr:colOff>
      <xdr:row>0</xdr:row>
      <xdr:rowOff>104775</xdr:rowOff>
    </xdr:from>
    <xdr:to>
      <xdr:col>11</xdr:col>
      <xdr:colOff>750496</xdr:colOff>
      <xdr:row>1</xdr:row>
      <xdr:rowOff>184209</xdr:rowOff>
    </xdr:to>
    <xdr:pic>
      <xdr:nvPicPr>
        <xdr:cNvPr id="4" name="Gráfico 3" descr="Hogar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9167362" y="104775"/>
          <a:ext cx="441384" cy="441384"/>
        </a:xfrm>
        <a:prstGeom prst="rect">
          <a:avLst/>
        </a:prstGeom>
      </xdr:spPr>
    </xdr:pic>
    <xdr:clientData/>
  </xdr:twoCellAnchor>
  <xdr:twoCellAnchor>
    <xdr:from>
      <xdr:col>11</xdr:col>
      <xdr:colOff>806210</xdr:colOff>
      <xdr:row>0</xdr:row>
      <xdr:rowOff>158333</xdr:rowOff>
    </xdr:from>
    <xdr:to>
      <xdr:col>11</xdr:col>
      <xdr:colOff>1210571</xdr:colOff>
      <xdr:row>2</xdr:row>
      <xdr:rowOff>10244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 rot="10643972">
          <a:off x="9664460" y="15833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</xdr:row>
      <xdr:rowOff>9525</xdr:rowOff>
    </xdr:from>
    <xdr:to>
      <xdr:col>1</xdr:col>
      <xdr:colOff>133350</xdr:colOff>
      <xdr:row>6</xdr:row>
      <xdr:rowOff>59124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0" y="561975"/>
          <a:ext cx="0" cy="81159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171450</xdr:rowOff>
    </xdr:from>
    <xdr:to>
      <xdr:col>1</xdr:col>
      <xdr:colOff>180975</xdr:colOff>
      <xdr:row>6</xdr:row>
      <xdr:rowOff>11499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8125" y="533400"/>
          <a:ext cx="804742" cy="792549"/>
        </a:xfrm>
        <a:prstGeom prst="rect">
          <a:avLst/>
        </a:prstGeom>
      </xdr:spPr>
    </xdr:pic>
    <xdr:clientData/>
  </xdr:twoCellAnchor>
  <xdr:twoCellAnchor>
    <xdr:from>
      <xdr:col>10</xdr:col>
      <xdr:colOff>1409700</xdr:colOff>
      <xdr:row>0</xdr:row>
      <xdr:rowOff>180975</xdr:rowOff>
    </xdr:from>
    <xdr:to>
      <xdr:col>11</xdr:col>
      <xdr:colOff>223386</xdr:colOff>
      <xdr:row>2</xdr:row>
      <xdr:rowOff>32886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8677275" y="180975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</xdr:row>
      <xdr:rowOff>0</xdr:rowOff>
    </xdr:from>
    <xdr:to>
      <xdr:col>2</xdr:col>
      <xdr:colOff>738067</xdr:colOff>
      <xdr:row>6</xdr:row>
      <xdr:rowOff>11499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8125" y="55245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7</xdr:col>
      <xdr:colOff>1466850</xdr:colOff>
      <xdr:row>0</xdr:row>
      <xdr:rowOff>104775</xdr:rowOff>
    </xdr:from>
    <xdr:to>
      <xdr:col>9</xdr:col>
      <xdr:colOff>142875</xdr:colOff>
      <xdr:row>1</xdr:row>
      <xdr:rowOff>159203</xdr:rowOff>
    </xdr:to>
    <xdr:pic>
      <xdr:nvPicPr>
        <xdr:cNvPr id="3" name="Imagen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104775"/>
          <a:ext cx="323850" cy="41637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1</xdr:col>
      <xdr:colOff>133350</xdr:colOff>
      <xdr:row>6</xdr:row>
      <xdr:rowOff>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0" cy="84772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248400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652762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092710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</xdr:row>
      <xdr:rowOff>66675</xdr:rowOff>
    </xdr:from>
    <xdr:to>
      <xdr:col>1</xdr:col>
      <xdr:colOff>171450</xdr:colOff>
      <xdr:row>5</xdr:row>
      <xdr:rowOff>106749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428625"/>
          <a:ext cx="0" cy="81159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76200</xdr:rowOff>
    </xdr:from>
    <xdr:to>
      <xdr:col>1</xdr:col>
      <xdr:colOff>180975</xdr:colOff>
      <xdr:row>5</xdr:row>
      <xdr:rowOff>97224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8125" y="43815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95250</xdr:rowOff>
    </xdr:from>
    <xdr:to>
      <xdr:col>2</xdr:col>
      <xdr:colOff>757117</xdr:colOff>
      <xdr:row>5</xdr:row>
      <xdr:rowOff>97224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7175" y="45720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4</xdr:col>
      <xdr:colOff>3648075</xdr:colOff>
      <xdr:row>0</xdr:row>
      <xdr:rowOff>57150</xdr:rowOff>
    </xdr:from>
    <xdr:to>
      <xdr:col>4</xdr:col>
      <xdr:colOff>3971925</xdr:colOff>
      <xdr:row>1</xdr:row>
      <xdr:rowOff>111578</xdr:rowOff>
    </xdr:to>
    <xdr:pic>
      <xdr:nvPicPr>
        <xdr:cNvPr id="9" name="Imagen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57150"/>
          <a:ext cx="323850" cy="41637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5</xdr:row>
      <xdr:rowOff>26591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1950"/>
          <a:ext cx="800100" cy="788591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7" name="Gráfico 6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543425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8" name="Gráfico 7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947787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9" name="Gráfico 8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387735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</xdr:row>
      <xdr:rowOff>19050</xdr:rowOff>
    </xdr:from>
    <xdr:to>
      <xdr:col>2</xdr:col>
      <xdr:colOff>719017</xdr:colOff>
      <xdr:row>6</xdr:row>
      <xdr:rowOff>21024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075" y="571500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23</xdr:row>
      <xdr:rowOff>85725</xdr:rowOff>
    </xdr:from>
    <xdr:to>
      <xdr:col>8</xdr:col>
      <xdr:colOff>1333500</xdr:colOff>
      <xdr:row>32</xdr:row>
      <xdr:rowOff>133350</xdr:rowOff>
    </xdr:to>
    <xdr:pic>
      <xdr:nvPicPr>
        <xdr:cNvPr id="3" name="Imagen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0" y="4676775"/>
          <a:ext cx="2200275" cy="1914525"/>
        </a:xfrm>
        <a:prstGeom prst="rect">
          <a:avLst/>
        </a:prstGeom>
      </xdr:spPr>
    </xdr:pic>
    <xdr:clientData/>
  </xdr:twoCellAnchor>
  <xdr:twoCellAnchor editAs="oneCell">
    <xdr:from>
      <xdr:col>5</xdr:col>
      <xdr:colOff>781050</xdr:colOff>
      <xdr:row>0</xdr:row>
      <xdr:rowOff>76200</xdr:rowOff>
    </xdr:from>
    <xdr:to>
      <xdr:col>5</xdr:col>
      <xdr:colOff>1104900</xdr:colOff>
      <xdr:row>1</xdr:row>
      <xdr:rowOff>130628</xdr:rowOff>
    </xdr:to>
    <xdr:pic>
      <xdr:nvPicPr>
        <xdr:cNvPr id="4" name="Imagen 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76200"/>
          <a:ext cx="323850" cy="41637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123825</xdr:rowOff>
    </xdr:from>
    <xdr:to>
      <xdr:col>2</xdr:col>
      <xdr:colOff>647700</xdr:colOff>
      <xdr:row>4</xdr:row>
      <xdr:rowOff>173424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23825"/>
          <a:ext cx="742950" cy="811599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34865</xdr:rowOff>
    </xdr:from>
    <xdr:to>
      <xdr:col>12</xdr:col>
      <xdr:colOff>23361</xdr:colOff>
      <xdr:row>3</xdr:row>
      <xdr:rowOff>58226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10275" y="815915"/>
          <a:ext cx="404361" cy="404361"/>
        </a:xfrm>
        <a:prstGeom prst="rect">
          <a:avLst/>
        </a:prstGeom>
      </xdr:spPr>
    </xdr:pic>
    <xdr:clientData/>
  </xdr:twoCellAnchor>
  <xdr:twoCellAnchor>
    <xdr:from>
      <xdr:col>12</xdr:col>
      <xdr:colOff>23362</xdr:colOff>
      <xdr:row>1</xdr:row>
      <xdr:rowOff>0</xdr:rowOff>
    </xdr:from>
    <xdr:to>
      <xdr:col>13</xdr:col>
      <xdr:colOff>83746</xdr:colOff>
      <xdr:row>3</xdr:row>
      <xdr:rowOff>60384</xdr:rowOff>
    </xdr:to>
    <xdr:pic>
      <xdr:nvPicPr>
        <xdr:cNvPr id="9" name="Gráfico 8" descr="Hogar con rellen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6414637" y="781050"/>
          <a:ext cx="441384" cy="441384"/>
        </a:xfrm>
        <a:prstGeom prst="rect">
          <a:avLst/>
        </a:prstGeom>
      </xdr:spPr>
    </xdr:pic>
    <xdr:clientData/>
  </xdr:twoCellAnchor>
  <xdr:twoCellAnchor>
    <xdr:from>
      <xdr:col>13</xdr:col>
      <xdr:colOff>82310</xdr:colOff>
      <xdr:row>1</xdr:row>
      <xdr:rowOff>34508</xdr:rowOff>
    </xdr:from>
    <xdr:to>
      <xdr:col>14</xdr:col>
      <xdr:colOff>105671</xdr:colOff>
      <xdr:row>3</xdr:row>
      <xdr:rowOff>57869</xdr:rowOff>
    </xdr:to>
    <xdr:pic>
      <xdr:nvPicPr>
        <xdr:cNvPr id="10" name="Gráfico 9" descr="Círculo con flecha a la izquierda con rellen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rot="10643972">
          <a:off x="6854585" y="81555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409575</xdr:colOff>
      <xdr:row>1</xdr:row>
      <xdr:rowOff>76200</xdr:rowOff>
    </xdr:from>
    <xdr:to>
      <xdr:col>7</xdr:col>
      <xdr:colOff>733425</xdr:colOff>
      <xdr:row>3</xdr:row>
      <xdr:rowOff>111578</xdr:rowOff>
    </xdr:to>
    <xdr:pic>
      <xdr:nvPicPr>
        <xdr:cNvPr id="18" name="Imagen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425" y="266700"/>
          <a:ext cx="323850" cy="416378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11</xdr:row>
      <xdr:rowOff>29493</xdr:rowOff>
    </xdr:from>
    <xdr:to>
      <xdr:col>18</xdr:col>
      <xdr:colOff>1</xdr:colOff>
      <xdr:row>20</xdr:row>
      <xdr:rowOff>171450</xdr:rowOff>
    </xdr:to>
    <xdr:pic>
      <xdr:nvPicPr>
        <xdr:cNvPr id="11" name="Imagen 1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138"/>
        <a:stretch/>
      </xdr:blipFill>
      <xdr:spPr>
        <a:xfrm>
          <a:off x="1285876" y="2153568"/>
          <a:ext cx="7391400" cy="185645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19050</xdr:rowOff>
    </xdr:from>
    <xdr:to>
      <xdr:col>2</xdr:col>
      <xdr:colOff>657225</xdr:colOff>
      <xdr:row>4</xdr:row>
      <xdr:rowOff>68649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381000"/>
          <a:ext cx="742950" cy="811599"/>
        </a:xfrm>
        <a:prstGeom prst="rect">
          <a:avLst/>
        </a:prstGeom>
      </xdr:spPr>
    </xdr:pic>
    <xdr:clientData/>
  </xdr:twoCellAnchor>
  <xdr:twoCellAnchor>
    <xdr:from>
      <xdr:col>11</xdr:col>
      <xdr:colOff>28575</xdr:colOff>
      <xdr:row>1</xdr:row>
      <xdr:rowOff>25340</xdr:rowOff>
    </xdr:from>
    <xdr:to>
      <xdr:col>12</xdr:col>
      <xdr:colOff>51936</xdr:colOff>
      <xdr:row>3</xdr:row>
      <xdr:rowOff>48701</xdr:rowOff>
    </xdr:to>
    <xdr:pic>
      <xdr:nvPicPr>
        <xdr:cNvPr id="14" name="Gráfico 13" descr="Círculo con flecha a la izquierda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38850" y="577790"/>
          <a:ext cx="404361" cy="404361"/>
        </a:xfrm>
        <a:prstGeom prst="rect">
          <a:avLst/>
        </a:prstGeom>
      </xdr:spPr>
    </xdr:pic>
    <xdr:clientData/>
  </xdr:twoCellAnchor>
  <xdr:twoCellAnchor>
    <xdr:from>
      <xdr:col>12</xdr:col>
      <xdr:colOff>23362</xdr:colOff>
      <xdr:row>1</xdr:row>
      <xdr:rowOff>0</xdr:rowOff>
    </xdr:from>
    <xdr:to>
      <xdr:col>13</xdr:col>
      <xdr:colOff>83746</xdr:colOff>
      <xdr:row>3</xdr:row>
      <xdr:rowOff>60384</xdr:rowOff>
    </xdr:to>
    <xdr:pic>
      <xdr:nvPicPr>
        <xdr:cNvPr id="15" name="Gráfico 14" descr="Hogar con rellen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6414637" y="552450"/>
          <a:ext cx="441384" cy="441384"/>
        </a:xfrm>
        <a:prstGeom prst="rect">
          <a:avLst/>
        </a:prstGeom>
      </xdr:spPr>
    </xdr:pic>
    <xdr:clientData/>
  </xdr:twoCellAnchor>
  <xdr:twoCellAnchor>
    <xdr:from>
      <xdr:col>13</xdr:col>
      <xdr:colOff>82310</xdr:colOff>
      <xdr:row>1</xdr:row>
      <xdr:rowOff>34508</xdr:rowOff>
    </xdr:from>
    <xdr:to>
      <xdr:col>14</xdr:col>
      <xdr:colOff>105671</xdr:colOff>
      <xdr:row>3</xdr:row>
      <xdr:rowOff>57869</xdr:rowOff>
    </xdr:to>
    <xdr:pic>
      <xdr:nvPicPr>
        <xdr:cNvPr id="16" name="Gráfico 15" descr="Círculo con flecha a la izquierda con rellen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rot="10643972">
          <a:off x="6854585" y="58695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57149</xdr:rowOff>
    </xdr:from>
    <xdr:to>
      <xdr:col>17</xdr:col>
      <xdr:colOff>371475</xdr:colOff>
      <xdr:row>20</xdr:row>
      <xdr:rowOff>142874</xdr:rowOff>
    </xdr:to>
    <xdr:pic>
      <xdr:nvPicPr>
        <xdr:cNvPr id="3" name="Imagen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752599"/>
          <a:ext cx="7391400" cy="2562225"/>
        </a:xfrm>
        <a:prstGeom prst="rect">
          <a:avLst/>
        </a:prstGeom>
      </xdr:spPr>
    </xdr:pic>
    <xdr:clientData/>
  </xdr:twoCellAnchor>
  <xdr:twoCellAnchor editAs="oneCell">
    <xdr:from>
      <xdr:col>7</xdr:col>
      <xdr:colOff>781050</xdr:colOff>
      <xdr:row>1</xdr:row>
      <xdr:rowOff>47625</xdr:rowOff>
    </xdr:from>
    <xdr:to>
      <xdr:col>7</xdr:col>
      <xdr:colOff>1104900</xdr:colOff>
      <xdr:row>3</xdr:row>
      <xdr:rowOff>83003</xdr:rowOff>
    </xdr:to>
    <xdr:pic>
      <xdr:nvPicPr>
        <xdr:cNvPr id="4" name="Imagen 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238125"/>
          <a:ext cx="323850" cy="416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266700</xdr:rowOff>
    </xdr:from>
    <xdr:to>
      <xdr:col>6</xdr:col>
      <xdr:colOff>3076575</xdr:colOff>
      <xdr:row>0</xdr:row>
      <xdr:rowOff>1034788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700"/>
          <a:ext cx="7772400" cy="768088"/>
        </a:xfrm>
        <a:prstGeom prst="rect">
          <a:avLst/>
        </a:prstGeom>
      </xdr:spPr>
    </xdr:pic>
    <xdr:clientData/>
  </xdr:twoCellAnchor>
  <xdr:twoCellAnchor>
    <xdr:from>
      <xdr:col>6</xdr:col>
      <xdr:colOff>5362575</xdr:colOff>
      <xdr:row>13</xdr:row>
      <xdr:rowOff>104775</xdr:rowOff>
    </xdr:from>
    <xdr:to>
      <xdr:col>6</xdr:col>
      <xdr:colOff>6419850</xdr:colOff>
      <xdr:row>36</xdr:row>
      <xdr:rowOff>104775</xdr:rowOff>
    </xdr:to>
    <xdr:sp macro="" textlink="">
      <xdr:nvSpPr>
        <xdr:cNvPr id="5" name="CuadroText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0572750" y="3952875"/>
          <a:ext cx="1057275" cy="4572000"/>
        </a:xfrm>
        <a:prstGeom prst="rect">
          <a:avLst/>
        </a:prstGeom>
        <a:solidFill>
          <a:srgbClr val="200C2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200" b="1">
              <a:solidFill>
                <a:schemeClr val="bg1"/>
              </a:solidFill>
            </a:rPr>
            <a:t>I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r</a:t>
          </a:r>
        </a:p>
        <a:p>
          <a:pPr algn="ctr"/>
          <a:endParaRPr lang="es-CO" sz="1200" b="1">
            <a:solidFill>
              <a:schemeClr val="bg1"/>
            </a:solidFill>
          </a:endParaRPr>
        </a:p>
        <a:p>
          <a:pPr algn="ctr"/>
          <a:r>
            <a:rPr lang="es-CO" sz="1200" b="1">
              <a:solidFill>
                <a:schemeClr val="bg1"/>
              </a:solidFill>
            </a:rPr>
            <a:t>a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l</a:t>
          </a:r>
        </a:p>
        <a:p>
          <a:pPr algn="ctr"/>
          <a:endParaRPr lang="es-CO" sz="1200" b="1">
            <a:solidFill>
              <a:schemeClr val="bg1"/>
            </a:solidFill>
          </a:endParaRPr>
        </a:p>
        <a:p>
          <a:pPr algn="ctr"/>
          <a:r>
            <a:rPr lang="es-CO" sz="1200" b="1">
              <a:solidFill>
                <a:schemeClr val="bg1"/>
              </a:solidFill>
            </a:rPr>
            <a:t>p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l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a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n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e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a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d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o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r</a:t>
          </a:r>
        </a:p>
        <a:p>
          <a:pPr algn="ctr"/>
          <a:endParaRPr lang="es-CO" sz="1200" b="1">
            <a:solidFill>
              <a:schemeClr val="bg1"/>
            </a:solidFill>
          </a:endParaRPr>
        </a:p>
        <a:p>
          <a:pPr algn="ctr"/>
          <a:r>
            <a:rPr lang="es-CO" sz="1200" b="1">
              <a:solidFill>
                <a:schemeClr val="bg1"/>
              </a:solidFill>
            </a:rPr>
            <a:t>p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o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r</a:t>
          </a:r>
        </a:p>
        <a:p>
          <a:pPr algn="ctr"/>
          <a:endParaRPr lang="es-CO" sz="1200" b="1">
            <a:solidFill>
              <a:schemeClr val="bg1"/>
            </a:solidFill>
          </a:endParaRPr>
        </a:p>
        <a:p>
          <a:pPr algn="ctr"/>
          <a:r>
            <a:rPr lang="es-CO" sz="1200" b="1">
              <a:solidFill>
                <a:schemeClr val="bg1"/>
              </a:solidFill>
            </a:rPr>
            <a:t>m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e</a:t>
          </a:r>
        </a:p>
        <a:p>
          <a:pPr algn="ctr"/>
          <a:r>
            <a:rPr lang="es-CO" sz="1200" b="1">
              <a:solidFill>
                <a:schemeClr val="bg1"/>
              </a:solidFill>
            </a:rPr>
            <a:t>s</a:t>
          </a:r>
        </a:p>
      </xdr:txBody>
    </xdr:sp>
    <xdr:clientData/>
  </xdr:twoCellAnchor>
  <xdr:twoCellAnchor>
    <xdr:from>
      <xdr:col>6</xdr:col>
      <xdr:colOff>5353049</xdr:colOff>
      <xdr:row>8</xdr:row>
      <xdr:rowOff>95251</xdr:rowOff>
    </xdr:from>
    <xdr:to>
      <xdr:col>6</xdr:col>
      <xdr:colOff>6410325</xdr:colOff>
      <xdr:row>13</xdr:row>
      <xdr:rowOff>38101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0563224" y="2895601"/>
          <a:ext cx="1057276" cy="990600"/>
        </a:xfrm>
        <a:prstGeom prst="rect">
          <a:avLst/>
        </a:prstGeom>
        <a:solidFill>
          <a:srgbClr val="FF7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200" b="1"/>
            <a:t>Hága</a:t>
          </a:r>
          <a:r>
            <a:rPr lang="es-CO" sz="1200" b="1" baseline="0"/>
            <a:t> CLIC AQUí</a:t>
          </a:r>
        </a:p>
        <a:p>
          <a:pPr algn="ctr"/>
          <a:endParaRPr lang="es-CO" sz="1200" b="1"/>
        </a:p>
      </xdr:txBody>
    </xdr:sp>
    <xdr:clientData/>
  </xdr:twoCellAnchor>
  <xdr:twoCellAnchor editAs="oneCell">
    <xdr:from>
      <xdr:col>6</xdr:col>
      <xdr:colOff>5781675</xdr:colOff>
      <xdr:row>11</xdr:row>
      <xdr:rowOff>95250</xdr:rowOff>
    </xdr:from>
    <xdr:to>
      <xdr:col>6</xdr:col>
      <xdr:colOff>6048375</xdr:colOff>
      <xdr:row>12</xdr:row>
      <xdr:rowOff>161925</xdr:rowOff>
    </xdr:to>
    <xdr:pic>
      <xdr:nvPicPr>
        <xdr:cNvPr id="8" name="Gráfico 7" descr="Flecha abajo con relleno sóli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991850" y="3514725"/>
          <a:ext cx="266700" cy="266700"/>
        </a:xfrm>
        <a:prstGeom prst="rect">
          <a:avLst/>
        </a:prstGeom>
      </xdr:spPr>
    </xdr:pic>
    <xdr:clientData/>
  </xdr:twoCellAnchor>
  <xdr:twoCellAnchor editAs="oneCell">
    <xdr:from>
      <xdr:col>6</xdr:col>
      <xdr:colOff>5629191</xdr:colOff>
      <xdr:row>1</xdr:row>
      <xdr:rowOff>25854</xdr:rowOff>
    </xdr:from>
    <xdr:to>
      <xdr:col>6</xdr:col>
      <xdr:colOff>6038850</xdr:colOff>
      <xdr:row>2</xdr:row>
      <xdr:rowOff>133458</xdr:rowOff>
    </xdr:to>
    <xdr:pic>
      <xdr:nvPicPr>
        <xdr:cNvPr id="14" name="Imagen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366" y="1187904"/>
          <a:ext cx="409659" cy="52670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77</xdr:row>
      <xdr:rowOff>28575</xdr:rowOff>
    </xdr:from>
    <xdr:to>
      <xdr:col>8</xdr:col>
      <xdr:colOff>0</xdr:colOff>
      <xdr:row>84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8935700"/>
          <a:ext cx="11287125" cy="8096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77</xdr:row>
      <xdr:rowOff>76201</xdr:rowOff>
    </xdr:from>
    <xdr:to>
      <xdr:col>6</xdr:col>
      <xdr:colOff>6400800</xdr:colOff>
      <xdr:row>81</xdr:row>
      <xdr:rowOff>0</xdr:rowOff>
    </xdr:to>
    <xdr:sp macro="" textlink="">
      <xdr:nvSpPr>
        <xdr:cNvPr id="4" name="CuadroText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D37754-E04C-C578-777C-7150726DC760}"/>
            </a:ext>
          </a:extLst>
        </xdr:cNvPr>
        <xdr:cNvSpPr txBox="1"/>
      </xdr:nvSpPr>
      <xdr:spPr>
        <a:xfrm>
          <a:off x="419100" y="18983326"/>
          <a:ext cx="11191875" cy="714374"/>
        </a:xfrm>
        <a:prstGeom prst="rect">
          <a:avLst/>
        </a:prstGeom>
        <a:solidFill>
          <a:srgbClr val="200C2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>
              <a:solidFill>
                <a:schemeClr val="bg1"/>
              </a:solidFill>
            </a:rPr>
            <a:t>SFAI Colombia y sus vinculadas, son firmas colombianas miembros de SFAI Global, network de firma profesionales </a:t>
          </a:r>
        </a:p>
        <a:p>
          <a:pPr algn="ctr"/>
          <a:r>
            <a:rPr lang="es-CO" sz="1100">
              <a:solidFill>
                <a:schemeClr val="bg1"/>
              </a:solidFill>
            </a:rPr>
            <a:t>independientes con presencia en más de 115 países y domicilio en la República de Malta, Europa.</a:t>
          </a:r>
        </a:p>
        <a:p>
          <a:pPr algn="ctr"/>
          <a:r>
            <a:rPr lang="es-CO" sz="1100">
              <a:solidFill>
                <a:schemeClr val="bg1"/>
              </a:solidFill>
            </a:rPr>
            <a:t>www.sfai.co</a:t>
          </a:r>
        </a:p>
        <a:p>
          <a:endParaRPr lang="es-CO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152400</xdr:rowOff>
    </xdr:from>
    <xdr:to>
      <xdr:col>2</xdr:col>
      <xdr:colOff>719017</xdr:colOff>
      <xdr:row>5</xdr:row>
      <xdr:rowOff>11499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1295400"/>
          <a:ext cx="804742" cy="811599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1</xdr:row>
      <xdr:rowOff>149165</xdr:rowOff>
    </xdr:from>
    <xdr:to>
      <xdr:col>6</xdr:col>
      <xdr:colOff>728211</xdr:colOff>
      <xdr:row>3</xdr:row>
      <xdr:rowOff>172526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648075" y="777815"/>
          <a:ext cx="404361" cy="404361"/>
        </a:xfrm>
        <a:prstGeom prst="rect">
          <a:avLst/>
        </a:prstGeom>
      </xdr:spPr>
    </xdr:pic>
    <xdr:clientData/>
  </xdr:twoCellAnchor>
  <xdr:twoCellAnchor>
    <xdr:from>
      <xdr:col>7</xdr:col>
      <xdr:colOff>51937</xdr:colOff>
      <xdr:row>1</xdr:row>
      <xdr:rowOff>133350</xdr:rowOff>
    </xdr:from>
    <xdr:to>
      <xdr:col>7</xdr:col>
      <xdr:colOff>493321</xdr:colOff>
      <xdr:row>4</xdr:row>
      <xdr:rowOff>3234</xdr:rowOff>
    </xdr:to>
    <xdr:pic>
      <xdr:nvPicPr>
        <xdr:cNvPr id="6" name="Gráfico 5" descr="Hogar con rellen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138162" y="514350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568086</xdr:colOff>
      <xdr:row>1</xdr:row>
      <xdr:rowOff>129758</xdr:rowOff>
    </xdr:from>
    <xdr:to>
      <xdr:col>7</xdr:col>
      <xdr:colOff>972447</xdr:colOff>
      <xdr:row>3</xdr:row>
      <xdr:rowOff>153119</xdr:rowOff>
    </xdr:to>
    <xdr:pic>
      <xdr:nvPicPr>
        <xdr:cNvPr id="7" name="Gráfico 6" descr="Círculo con flecha a la izquierda con rellen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rot="10643972">
          <a:off x="4654311" y="51075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</xdr:row>
      <xdr:rowOff>133350</xdr:rowOff>
    </xdr:from>
    <xdr:to>
      <xdr:col>5</xdr:col>
      <xdr:colOff>609600</xdr:colOff>
      <xdr:row>3</xdr:row>
      <xdr:rowOff>168728</xdr:rowOff>
    </xdr:to>
    <xdr:pic>
      <xdr:nvPicPr>
        <xdr:cNvPr id="2" name="Imagen 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323850"/>
          <a:ext cx="323850" cy="41637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85725</xdr:rowOff>
    </xdr:from>
    <xdr:to>
      <xdr:col>2</xdr:col>
      <xdr:colOff>628650</xdr:colOff>
      <xdr:row>4</xdr:row>
      <xdr:rowOff>135324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5725"/>
          <a:ext cx="714375" cy="811599"/>
        </a:xfrm>
        <a:prstGeom prst="rect">
          <a:avLst/>
        </a:prstGeom>
      </xdr:spPr>
    </xdr:pic>
    <xdr:clientData/>
  </xdr:twoCellAnchor>
  <xdr:twoCellAnchor>
    <xdr:from>
      <xdr:col>13</xdr:col>
      <xdr:colOff>95250</xdr:colOff>
      <xdr:row>2</xdr:row>
      <xdr:rowOff>82490</xdr:rowOff>
    </xdr:from>
    <xdr:to>
      <xdr:col>14</xdr:col>
      <xdr:colOff>99561</xdr:colOff>
      <xdr:row>4</xdr:row>
      <xdr:rowOff>105851</xdr:rowOff>
    </xdr:to>
    <xdr:pic>
      <xdr:nvPicPr>
        <xdr:cNvPr id="10" name="Gráfico 9" descr="Círculo con flecha a la izquierda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34200" y="463490"/>
          <a:ext cx="385311" cy="404361"/>
        </a:xfrm>
        <a:prstGeom prst="rect">
          <a:avLst/>
        </a:prstGeom>
      </xdr:spPr>
    </xdr:pic>
    <xdr:clientData/>
  </xdr:twoCellAnchor>
  <xdr:twoCellAnchor>
    <xdr:from>
      <xdr:col>14</xdr:col>
      <xdr:colOff>261487</xdr:colOff>
      <xdr:row>2</xdr:row>
      <xdr:rowOff>47625</xdr:rowOff>
    </xdr:from>
    <xdr:to>
      <xdr:col>15</xdr:col>
      <xdr:colOff>283771</xdr:colOff>
      <xdr:row>4</xdr:row>
      <xdr:rowOff>108009</xdr:rowOff>
    </xdr:to>
    <xdr:pic>
      <xdr:nvPicPr>
        <xdr:cNvPr id="11" name="Gráfico 10" descr="Hogar con rellen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7481437" y="428625"/>
          <a:ext cx="403284" cy="441384"/>
        </a:xfrm>
        <a:prstGeom prst="rect">
          <a:avLst/>
        </a:prstGeom>
      </xdr:spPr>
    </xdr:pic>
    <xdr:clientData/>
  </xdr:twoCellAnchor>
  <xdr:twoCellAnchor>
    <xdr:from>
      <xdr:col>15</xdr:col>
      <xdr:colOff>349009</xdr:colOff>
      <xdr:row>2</xdr:row>
      <xdr:rowOff>63083</xdr:rowOff>
    </xdr:from>
    <xdr:to>
      <xdr:col>16</xdr:col>
      <xdr:colOff>372370</xdr:colOff>
      <xdr:row>4</xdr:row>
      <xdr:rowOff>86444</xdr:rowOff>
    </xdr:to>
    <xdr:pic>
      <xdr:nvPicPr>
        <xdr:cNvPr id="12" name="Gráfico 11" descr="Círculo con flecha a la izquierda con rellen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rot="10643972">
          <a:off x="7949959" y="44408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28576</xdr:rowOff>
    </xdr:from>
    <xdr:to>
      <xdr:col>17</xdr:col>
      <xdr:colOff>378935</xdr:colOff>
      <xdr:row>19</xdr:row>
      <xdr:rowOff>1</xdr:rowOff>
    </xdr:to>
    <xdr:pic>
      <xdr:nvPicPr>
        <xdr:cNvPr id="5" name="Imagen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98" b="19342"/>
        <a:stretch/>
      </xdr:blipFill>
      <xdr:spPr>
        <a:xfrm>
          <a:off x="1276350" y="1600201"/>
          <a:ext cx="7465535" cy="2076450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914400</xdr:colOff>
      <xdr:row>2</xdr:row>
      <xdr:rowOff>19050</xdr:rowOff>
    </xdr:from>
    <xdr:to>
      <xdr:col>7</xdr:col>
      <xdr:colOff>1238250</xdr:colOff>
      <xdr:row>4</xdr:row>
      <xdr:rowOff>54428</xdr:rowOff>
    </xdr:to>
    <xdr:pic>
      <xdr:nvPicPr>
        <xdr:cNvPr id="6" name="Imagen 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400050"/>
          <a:ext cx="323850" cy="41637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238125</xdr:rowOff>
    </xdr:from>
    <xdr:to>
      <xdr:col>2</xdr:col>
      <xdr:colOff>676275</xdr:colOff>
      <xdr:row>4</xdr:row>
      <xdr:rowOff>135324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542925"/>
          <a:ext cx="723900" cy="811599"/>
        </a:xfrm>
        <a:prstGeom prst="rect">
          <a:avLst/>
        </a:prstGeom>
      </xdr:spPr>
    </xdr:pic>
    <xdr:clientData/>
  </xdr:twoCellAnchor>
  <xdr:twoCellAnchor>
    <xdr:from>
      <xdr:col>13</xdr:col>
      <xdr:colOff>104775</xdr:colOff>
      <xdr:row>3</xdr:row>
      <xdr:rowOff>149165</xdr:rowOff>
    </xdr:from>
    <xdr:to>
      <xdr:col>14</xdr:col>
      <xdr:colOff>128136</xdr:colOff>
      <xdr:row>4</xdr:row>
      <xdr:rowOff>248726</xdr:rowOff>
    </xdr:to>
    <xdr:pic>
      <xdr:nvPicPr>
        <xdr:cNvPr id="16" name="Gráfico 15" descr="Círculo con flecha a la izquierda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877050" y="1063565"/>
          <a:ext cx="404361" cy="404361"/>
        </a:xfrm>
        <a:prstGeom prst="rect">
          <a:avLst/>
        </a:prstGeom>
      </xdr:spPr>
    </xdr:pic>
    <xdr:clientData/>
  </xdr:twoCellAnchor>
  <xdr:twoCellAnchor>
    <xdr:from>
      <xdr:col>14</xdr:col>
      <xdr:colOff>290062</xdr:colOff>
      <xdr:row>3</xdr:row>
      <xdr:rowOff>104775</xdr:rowOff>
    </xdr:from>
    <xdr:to>
      <xdr:col>15</xdr:col>
      <xdr:colOff>350446</xdr:colOff>
      <xdr:row>4</xdr:row>
      <xdr:rowOff>241359</xdr:rowOff>
    </xdr:to>
    <xdr:pic>
      <xdr:nvPicPr>
        <xdr:cNvPr id="17" name="Gráfico 16" descr="Hogar con rellen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7443337" y="1019175"/>
          <a:ext cx="441384" cy="441384"/>
        </a:xfrm>
        <a:prstGeom prst="rect">
          <a:avLst/>
        </a:prstGeom>
      </xdr:spPr>
    </xdr:pic>
    <xdr:clientData/>
  </xdr:twoCellAnchor>
  <xdr:twoCellAnchor>
    <xdr:from>
      <xdr:col>16</xdr:col>
      <xdr:colOff>82310</xdr:colOff>
      <xdr:row>3</xdr:row>
      <xdr:rowOff>129758</xdr:rowOff>
    </xdr:from>
    <xdr:to>
      <xdr:col>17</xdr:col>
      <xdr:colOff>105671</xdr:colOff>
      <xdr:row>4</xdr:row>
      <xdr:rowOff>229319</xdr:rowOff>
    </xdr:to>
    <xdr:pic>
      <xdr:nvPicPr>
        <xdr:cNvPr id="18" name="Gráfico 17" descr="Círculo con flecha a la izquierda con rellen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rot="10643972">
          <a:off x="7997585" y="104415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28575</xdr:rowOff>
    </xdr:from>
    <xdr:to>
      <xdr:col>18</xdr:col>
      <xdr:colOff>0</xdr:colOff>
      <xdr:row>17</xdr:row>
      <xdr:rowOff>161925</xdr:rowOff>
    </xdr:to>
    <xdr:pic>
      <xdr:nvPicPr>
        <xdr:cNvPr id="20" name="Imagen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87" b="3372"/>
        <a:stretch/>
      </xdr:blipFill>
      <xdr:spPr>
        <a:xfrm>
          <a:off x="1276350" y="1981200"/>
          <a:ext cx="7400925" cy="2047875"/>
        </a:xfrm>
        <a:prstGeom prst="rect">
          <a:avLst/>
        </a:prstGeom>
      </xdr:spPr>
    </xdr:pic>
    <xdr:clientData/>
  </xdr:twoCellAnchor>
  <xdr:twoCellAnchor editAs="oneCell">
    <xdr:from>
      <xdr:col>7</xdr:col>
      <xdr:colOff>1019175</xdr:colOff>
      <xdr:row>3</xdr:row>
      <xdr:rowOff>85725</xdr:rowOff>
    </xdr:from>
    <xdr:to>
      <xdr:col>8</xdr:col>
      <xdr:colOff>228600</xdr:colOff>
      <xdr:row>4</xdr:row>
      <xdr:rowOff>197303</xdr:rowOff>
    </xdr:to>
    <xdr:pic>
      <xdr:nvPicPr>
        <xdr:cNvPr id="21" name="Imagen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1000125"/>
          <a:ext cx="323850" cy="41637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160236</xdr:colOff>
      <xdr:row>0</xdr:row>
      <xdr:rowOff>80118</xdr:rowOff>
    </xdr:from>
    <xdr:to>
      <xdr:col>2</xdr:col>
      <xdr:colOff>658738</xdr:colOff>
      <xdr:row>4</xdr:row>
      <xdr:rowOff>143960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647" y="267057"/>
          <a:ext cx="747755" cy="811599"/>
        </a:xfrm>
        <a:prstGeom prst="rect">
          <a:avLst/>
        </a:prstGeom>
      </xdr:spPr>
    </xdr:pic>
    <xdr:clientData/>
  </xdr:twoCellAnchor>
  <xdr:twoCellAnchor>
    <xdr:from>
      <xdr:col>8</xdr:col>
      <xdr:colOff>12899</xdr:colOff>
      <xdr:row>0</xdr:row>
      <xdr:rowOff>16243</xdr:rowOff>
    </xdr:from>
    <xdr:to>
      <xdr:col>8</xdr:col>
      <xdr:colOff>417260</xdr:colOff>
      <xdr:row>2</xdr:row>
      <xdr:rowOff>46725</xdr:rowOff>
    </xdr:to>
    <xdr:pic>
      <xdr:nvPicPr>
        <xdr:cNvPr id="4" name="Gráfico 3" descr="Círculo con flecha a la izquierda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794838" y="16243"/>
          <a:ext cx="404361" cy="419258"/>
        </a:xfrm>
        <a:prstGeom prst="rect">
          <a:avLst/>
        </a:prstGeom>
      </xdr:spPr>
    </xdr:pic>
    <xdr:clientData/>
  </xdr:twoCellAnchor>
  <xdr:twoCellAnchor>
    <xdr:from>
      <xdr:col>8</xdr:col>
      <xdr:colOff>553333</xdr:colOff>
      <xdr:row>0</xdr:row>
      <xdr:rowOff>0</xdr:rowOff>
    </xdr:from>
    <xdr:to>
      <xdr:col>8</xdr:col>
      <xdr:colOff>991356</xdr:colOff>
      <xdr:row>2</xdr:row>
      <xdr:rowOff>58603</xdr:rowOff>
    </xdr:to>
    <xdr:pic>
      <xdr:nvPicPr>
        <xdr:cNvPr id="5" name="Gráfico 4" descr="Hogar con relleno sóli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335272" y="0"/>
          <a:ext cx="438023" cy="447379"/>
        </a:xfrm>
        <a:prstGeom prst="rect">
          <a:avLst/>
        </a:prstGeom>
      </xdr:spPr>
    </xdr:pic>
    <xdr:clientData/>
  </xdr:twoCellAnchor>
  <xdr:twoCellAnchor>
    <xdr:from>
      <xdr:col>8</xdr:col>
      <xdr:colOff>1087114</xdr:colOff>
      <xdr:row>0</xdr:row>
      <xdr:rowOff>25606</xdr:rowOff>
    </xdr:from>
    <xdr:to>
      <xdr:col>9</xdr:col>
      <xdr:colOff>276552</xdr:colOff>
      <xdr:row>2</xdr:row>
      <xdr:rowOff>56088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 rot="10643972">
          <a:off x="5869053" y="25606"/>
          <a:ext cx="404361" cy="419258"/>
        </a:xfrm>
        <a:prstGeom prst="rect">
          <a:avLst/>
        </a:prstGeom>
      </xdr:spPr>
    </xdr:pic>
    <xdr:clientData/>
  </xdr:twoCellAnchor>
  <xdr:twoCellAnchor editAs="oneCell">
    <xdr:from>
      <xdr:col>3</xdr:col>
      <xdr:colOff>44509</xdr:colOff>
      <xdr:row>6</xdr:row>
      <xdr:rowOff>25081</xdr:rowOff>
    </xdr:from>
    <xdr:to>
      <xdr:col>10</xdr:col>
      <xdr:colOff>17804</xdr:colOff>
      <xdr:row>16</xdr:row>
      <xdr:rowOff>178039</xdr:rowOff>
    </xdr:to>
    <xdr:pic>
      <xdr:nvPicPr>
        <xdr:cNvPr id="8" name="Imagen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3494"/>
        <a:stretch/>
      </xdr:blipFill>
      <xdr:spPr>
        <a:xfrm>
          <a:off x="1264065" y="1333656"/>
          <a:ext cx="5456846" cy="2022349"/>
        </a:xfrm>
        <a:prstGeom prst="rect">
          <a:avLst/>
        </a:prstGeom>
      </xdr:spPr>
    </xdr:pic>
    <xdr:clientData/>
  </xdr:twoCellAnchor>
  <xdr:twoCellAnchor editAs="oneCell">
    <xdr:from>
      <xdr:col>4</xdr:col>
      <xdr:colOff>1700893</xdr:colOff>
      <xdr:row>0</xdr:row>
      <xdr:rowOff>48597</xdr:rowOff>
    </xdr:from>
    <xdr:to>
      <xdr:col>5</xdr:col>
      <xdr:colOff>110024</xdr:colOff>
      <xdr:row>2</xdr:row>
      <xdr:rowOff>76199</xdr:rowOff>
    </xdr:to>
    <xdr:pic>
      <xdr:nvPicPr>
        <xdr:cNvPr id="9" name="Imagen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4133" y="48597"/>
          <a:ext cx="323850" cy="41637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219075</xdr:colOff>
      <xdr:row>2</xdr:row>
      <xdr:rowOff>228600</xdr:rowOff>
    </xdr:from>
    <xdr:to>
      <xdr:col>31</xdr:col>
      <xdr:colOff>244929</xdr:colOff>
      <xdr:row>7</xdr:row>
      <xdr:rowOff>217714</xdr:rowOff>
    </xdr:to>
    <xdr:sp macro="" textlink="CalYear">
      <xdr:nvSpPr>
        <xdr:cNvPr id="2" name="Cuadro de texto 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7648575" y="854529"/>
          <a:ext cx="3686175" cy="1336221"/>
        </a:xfrm>
        <a:prstGeom prst="rect">
          <a:avLst/>
        </a:prstGeom>
        <a:solidFill>
          <a:srgbClr val="200C25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l" rtl="0"/>
          <a:fld id="{24578334-23DC-4013-8E7E-E1AF84D6BCC2}" type="TxLink">
            <a:rPr lang="en-US" sz="10000" b="1" i="0" u="none" strike="noStrike">
              <a:solidFill>
                <a:schemeClr val="bg1"/>
              </a:solidFill>
              <a:effectLst>
                <a:outerShdw blurRad="50800" dist="38100" dir="2700000" algn="tl" rotWithShape="0">
                  <a:schemeClr val="bg2">
                    <a:lumMod val="25000"/>
                    <a:alpha val="40000"/>
                  </a:schemeClr>
                </a:outerShdw>
              </a:effectLst>
              <a:latin typeface="Trebuchet MS"/>
              <a:cs typeface="Calibri Light"/>
            </a:rPr>
            <a:pPr algn="l" rtl="0"/>
            <a:t>2023</a:t>
          </a:fld>
          <a:endParaRPr lang="en-US" sz="12000">
            <a:solidFill>
              <a:schemeClr val="bg1"/>
            </a:solidFill>
            <a:effectLst>
              <a:outerShdw blurRad="50800" dist="38100" dir="2700000" algn="tl" rotWithShape="0">
                <a:schemeClr val="bg2">
                  <a:lumMod val="25000"/>
                  <a:alpha val="40000"/>
                </a:schemeClr>
              </a:outerShdw>
            </a:effectLst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4</xdr:row>
          <xdr:rowOff>85725</xdr:rowOff>
        </xdr:from>
        <xdr:to>
          <xdr:col>8</xdr:col>
          <xdr:colOff>295275</xdr:colOff>
          <xdr:row>5</xdr:row>
          <xdr:rowOff>0</xdr:rowOff>
        </xdr:to>
        <xdr:sp macro="" textlink="">
          <xdr:nvSpPr>
            <xdr:cNvPr id="1025" name="ShowHolidaysCtrl" descr="Check to show holidays on the month sheets and uncheck to not show any.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1E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C05C48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190500</xdr:colOff>
          <xdr:row>5</xdr:row>
          <xdr:rowOff>209550</xdr:rowOff>
        </xdr:from>
        <xdr:to>
          <xdr:col>31</xdr:col>
          <xdr:colOff>152400</xdr:colOff>
          <xdr:row>7</xdr:row>
          <xdr:rowOff>19050</xdr:rowOff>
        </xdr:to>
        <xdr:sp macro="" textlink="">
          <xdr:nvSpPr>
            <xdr:cNvPr id="1027" name="Control numérico 1" descr="Click the spinner to change the calendar year.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1E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 editAs="oneCell">
    <xdr:from>
      <xdr:col>16</xdr:col>
      <xdr:colOff>398688</xdr:colOff>
      <xdr:row>2</xdr:row>
      <xdr:rowOff>158909</xdr:rowOff>
    </xdr:from>
    <xdr:to>
      <xdr:col>20</xdr:col>
      <xdr:colOff>40823</xdr:colOff>
      <xdr:row>7</xdr:row>
      <xdr:rowOff>122464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6795" y="784838"/>
          <a:ext cx="1193349" cy="1310662"/>
        </a:xfrm>
        <a:prstGeom prst="rect">
          <a:avLst/>
        </a:prstGeom>
      </xdr:spPr>
    </xdr:pic>
    <xdr:clientData/>
  </xdr:twoCellAnchor>
  <xdr:twoCellAnchor>
    <xdr:from>
      <xdr:col>28</xdr:col>
      <xdr:colOff>27214</xdr:colOff>
      <xdr:row>1</xdr:row>
      <xdr:rowOff>170936</xdr:rowOff>
    </xdr:from>
    <xdr:to>
      <xdr:col>29</xdr:col>
      <xdr:colOff>91397</xdr:colOff>
      <xdr:row>2</xdr:row>
      <xdr:rowOff>44618</xdr:rowOff>
    </xdr:to>
    <xdr:pic>
      <xdr:nvPicPr>
        <xdr:cNvPr id="7" name="Gráfico 6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0096500" y="266186"/>
          <a:ext cx="404361" cy="404361"/>
        </a:xfrm>
        <a:prstGeom prst="rect">
          <a:avLst/>
        </a:prstGeom>
      </xdr:spPr>
    </xdr:pic>
    <xdr:clientData/>
  </xdr:twoCellAnchor>
  <xdr:twoCellAnchor>
    <xdr:from>
      <xdr:col>29</xdr:col>
      <xdr:colOff>91398</xdr:colOff>
      <xdr:row>1</xdr:row>
      <xdr:rowOff>136071</xdr:rowOff>
    </xdr:from>
    <xdr:to>
      <xdr:col>30</xdr:col>
      <xdr:colOff>192603</xdr:colOff>
      <xdr:row>2</xdr:row>
      <xdr:rowOff>46776</xdr:rowOff>
    </xdr:to>
    <xdr:pic>
      <xdr:nvPicPr>
        <xdr:cNvPr id="8" name="Gráfico 7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500862" y="231321"/>
          <a:ext cx="441384" cy="441384"/>
        </a:xfrm>
        <a:prstGeom prst="rect">
          <a:avLst/>
        </a:prstGeom>
      </xdr:spPr>
    </xdr:pic>
    <xdr:clientData/>
  </xdr:twoCellAnchor>
  <xdr:twoCellAnchor>
    <xdr:from>
      <xdr:col>30</xdr:col>
      <xdr:colOff>191167</xdr:colOff>
      <xdr:row>1</xdr:row>
      <xdr:rowOff>170579</xdr:rowOff>
    </xdr:from>
    <xdr:to>
      <xdr:col>31</xdr:col>
      <xdr:colOff>255350</xdr:colOff>
      <xdr:row>2</xdr:row>
      <xdr:rowOff>44261</xdr:rowOff>
    </xdr:to>
    <xdr:pic>
      <xdr:nvPicPr>
        <xdr:cNvPr id="9" name="Gráfico 8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10940810" y="265829"/>
          <a:ext cx="404361" cy="40436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237017</xdr:colOff>
      <xdr:row>0</xdr:row>
      <xdr:rowOff>98842</xdr:rowOff>
    </xdr:from>
    <xdr:to>
      <xdr:col>5</xdr:col>
      <xdr:colOff>808726</xdr:colOff>
      <xdr:row>2</xdr:row>
      <xdr:rowOff>170731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3149" y="98842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575097</xdr:colOff>
      <xdr:row>1</xdr:row>
      <xdr:rowOff>106752</xdr:rowOff>
    </xdr:from>
    <xdr:to>
      <xdr:col>6</xdr:col>
      <xdr:colOff>979458</xdr:colOff>
      <xdr:row>2</xdr:row>
      <xdr:rowOff>133708</xdr:rowOff>
    </xdr:to>
    <xdr:pic>
      <xdr:nvPicPr>
        <xdr:cNvPr id="10" name="Gráfico 9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48375" y="295455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979459</xdr:colOff>
      <xdr:row>1</xdr:row>
      <xdr:rowOff>71887</xdr:rowOff>
    </xdr:from>
    <xdr:to>
      <xdr:col>7</xdr:col>
      <xdr:colOff>243696</xdr:colOff>
      <xdr:row>2</xdr:row>
      <xdr:rowOff>135866</xdr:rowOff>
    </xdr:to>
    <xdr:pic>
      <xdr:nvPicPr>
        <xdr:cNvPr id="20" name="Gráfico 19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52737" y="260590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242260</xdr:colOff>
      <xdr:row>1</xdr:row>
      <xdr:rowOff>106395</xdr:rowOff>
    </xdr:from>
    <xdr:to>
      <xdr:col>7</xdr:col>
      <xdr:colOff>646621</xdr:colOff>
      <xdr:row>2</xdr:row>
      <xdr:rowOff>133351</xdr:rowOff>
    </xdr:to>
    <xdr:pic>
      <xdr:nvPicPr>
        <xdr:cNvPr id="21" name="Gráfico 20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92685" y="295098"/>
          <a:ext cx="404361" cy="40436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0</xdr:row>
      <xdr:rowOff>104775</xdr:rowOff>
    </xdr:from>
    <xdr:to>
      <xdr:col>5</xdr:col>
      <xdr:colOff>847934</xdr:colOff>
      <xdr:row>2</xdr:row>
      <xdr:rowOff>171272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104775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504825</xdr:colOff>
      <xdr:row>1</xdr:row>
      <xdr:rowOff>72965</xdr:rowOff>
    </xdr:from>
    <xdr:to>
      <xdr:col>6</xdr:col>
      <xdr:colOff>909186</xdr:colOff>
      <xdr:row>2</xdr:row>
      <xdr:rowOff>96326</xdr:rowOff>
    </xdr:to>
    <xdr:pic>
      <xdr:nvPicPr>
        <xdr:cNvPr id="10" name="Gráfico 9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686550" y="263465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909187</xdr:colOff>
      <xdr:row>1</xdr:row>
      <xdr:rowOff>38100</xdr:rowOff>
    </xdr:from>
    <xdr:to>
      <xdr:col>7</xdr:col>
      <xdr:colOff>169471</xdr:colOff>
      <xdr:row>2</xdr:row>
      <xdr:rowOff>98484</xdr:rowOff>
    </xdr:to>
    <xdr:pic>
      <xdr:nvPicPr>
        <xdr:cNvPr id="11" name="Gráfico 10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090912" y="228600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168035</xdr:colOff>
      <xdr:row>1</xdr:row>
      <xdr:rowOff>72608</xdr:rowOff>
    </xdr:from>
    <xdr:to>
      <xdr:col>7</xdr:col>
      <xdr:colOff>572396</xdr:colOff>
      <xdr:row>2</xdr:row>
      <xdr:rowOff>95969</xdr:rowOff>
    </xdr:to>
    <xdr:pic>
      <xdr:nvPicPr>
        <xdr:cNvPr id="12" name="Gráfico 11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30860" y="263108"/>
          <a:ext cx="404361" cy="40436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0</xdr:row>
      <xdr:rowOff>66675</xdr:rowOff>
    </xdr:from>
    <xdr:to>
      <xdr:col>5</xdr:col>
      <xdr:colOff>895559</xdr:colOff>
      <xdr:row>2</xdr:row>
      <xdr:rowOff>133172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66675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571500</xdr:colOff>
      <xdr:row>1</xdr:row>
      <xdr:rowOff>101540</xdr:rowOff>
    </xdr:from>
    <xdr:to>
      <xdr:col>6</xdr:col>
      <xdr:colOff>975861</xdr:colOff>
      <xdr:row>2</xdr:row>
      <xdr:rowOff>124901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53225" y="292040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975862</xdr:colOff>
      <xdr:row>1</xdr:row>
      <xdr:rowOff>66675</xdr:rowOff>
    </xdr:from>
    <xdr:to>
      <xdr:col>7</xdr:col>
      <xdr:colOff>236146</xdr:colOff>
      <xdr:row>2</xdr:row>
      <xdr:rowOff>127059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57587" y="257175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234710</xdr:colOff>
      <xdr:row>1</xdr:row>
      <xdr:rowOff>101183</xdr:rowOff>
    </xdr:from>
    <xdr:to>
      <xdr:col>7</xdr:col>
      <xdr:colOff>639071</xdr:colOff>
      <xdr:row>2</xdr:row>
      <xdr:rowOff>124544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97535" y="291683"/>
          <a:ext cx="404361" cy="40436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0</xdr:row>
      <xdr:rowOff>85725</xdr:rowOff>
    </xdr:from>
    <xdr:to>
      <xdr:col>5</xdr:col>
      <xdr:colOff>847934</xdr:colOff>
      <xdr:row>2</xdr:row>
      <xdr:rowOff>152222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0" y="85725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552450</xdr:colOff>
      <xdr:row>1</xdr:row>
      <xdr:rowOff>82490</xdr:rowOff>
    </xdr:from>
    <xdr:to>
      <xdr:col>6</xdr:col>
      <xdr:colOff>956811</xdr:colOff>
      <xdr:row>2</xdr:row>
      <xdr:rowOff>105851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34175" y="272990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956812</xdr:colOff>
      <xdr:row>1</xdr:row>
      <xdr:rowOff>47625</xdr:rowOff>
    </xdr:from>
    <xdr:to>
      <xdr:col>7</xdr:col>
      <xdr:colOff>217096</xdr:colOff>
      <xdr:row>2</xdr:row>
      <xdr:rowOff>108009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38537" y="238125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215660</xdr:colOff>
      <xdr:row>1</xdr:row>
      <xdr:rowOff>82133</xdr:rowOff>
    </xdr:from>
    <xdr:to>
      <xdr:col>7</xdr:col>
      <xdr:colOff>620021</xdr:colOff>
      <xdr:row>2</xdr:row>
      <xdr:rowOff>105494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78485" y="272633"/>
          <a:ext cx="404361" cy="40436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314325</xdr:colOff>
      <xdr:row>0</xdr:row>
      <xdr:rowOff>114300</xdr:rowOff>
    </xdr:from>
    <xdr:to>
      <xdr:col>5</xdr:col>
      <xdr:colOff>886034</xdr:colOff>
      <xdr:row>2</xdr:row>
      <xdr:rowOff>180797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114300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552450</xdr:colOff>
      <xdr:row>1</xdr:row>
      <xdr:rowOff>82490</xdr:rowOff>
    </xdr:from>
    <xdr:to>
      <xdr:col>6</xdr:col>
      <xdr:colOff>956811</xdr:colOff>
      <xdr:row>2</xdr:row>
      <xdr:rowOff>105851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34175" y="272990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956812</xdr:colOff>
      <xdr:row>1</xdr:row>
      <xdr:rowOff>47625</xdr:rowOff>
    </xdr:from>
    <xdr:to>
      <xdr:col>7</xdr:col>
      <xdr:colOff>217096</xdr:colOff>
      <xdr:row>2</xdr:row>
      <xdr:rowOff>108009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38537" y="238125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215660</xdr:colOff>
      <xdr:row>1</xdr:row>
      <xdr:rowOff>82133</xdr:rowOff>
    </xdr:from>
    <xdr:to>
      <xdr:col>7</xdr:col>
      <xdr:colOff>620021</xdr:colOff>
      <xdr:row>2</xdr:row>
      <xdr:rowOff>105494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78485" y="272633"/>
          <a:ext cx="404361" cy="4043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61562</xdr:rowOff>
    </xdr:from>
    <xdr:to>
      <xdr:col>2</xdr:col>
      <xdr:colOff>704850</xdr:colOff>
      <xdr:row>5</xdr:row>
      <xdr:rowOff>61562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99662"/>
          <a:ext cx="800100" cy="885825"/>
        </a:xfrm>
        <a:prstGeom prst="rect">
          <a:avLst/>
        </a:prstGeom>
      </xdr:spPr>
    </xdr:pic>
    <xdr:clientData/>
  </xdr:twoCellAnchor>
  <xdr:twoCellAnchor>
    <xdr:from>
      <xdr:col>10</xdr:col>
      <xdr:colOff>904875</xdr:colOff>
      <xdr:row>0</xdr:row>
      <xdr:rowOff>139640</xdr:rowOff>
    </xdr:from>
    <xdr:to>
      <xdr:col>11</xdr:col>
      <xdr:colOff>394836</xdr:colOff>
      <xdr:row>1</xdr:row>
      <xdr:rowOff>182051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886575" y="139640"/>
          <a:ext cx="404361" cy="404361"/>
        </a:xfrm>
        <a:prstGeom prst="rect">
          <a:avLst/>
        </a:prstGeom>
      </xdr:spPr>
    </xdr:pic>
    <xdr:clientData/>
  </xdr:twoCellAnchor>
  <xdr:twoCellAnchor>
    <xdr:from>
      <xdr:col>11</xdr:col>
      <xdr:colOff>394837</xdr:colOff>
      <xdr:row>0</xdr:row>
      <xdr:rowOff>104775</xdr:rowOff>
    </xdr:from>
    <xdr:to>
      <xdr:col>11</xdr:col>
      <xdr:colOff>836221</xdr:colOff>
      <xdr:row>1</xdr:row>
      <xdr:rowOff>184209</xdr:rowOff>
    </xdr:to>
    <xdr:pic>
      <xdr:nvPicPr>
        <xdr:cNvPr id="6" name="Gráfico 5" descr="Hogar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7290937" y="104775"/>
          <a:ext cx="441384" cy="441384"/>
        </a:xfrm>
        <a:prstGeom prst="rect">
          <a:avLst/>
        </a:prstGeom>
      </xdr:spPr>
    </xdr:pic>
    <xdr:clientData/>
  </xdr:twoCellAnchor>
  <xdr:twoCellAnchor>
    <xdr:from>
      <xdr:col>11</xdr:col>
      <xdr:colOff>834785</xdr:colOff>
      <xdr:row>0</xdr:row>
      <xdr:rowOff>139283</xdr:rowOff>
    </xdr:from>
    <xdr:to>
      <xdr:col>11</xdr:col>
      <xdr:colOff>1239146</xdr:colOff>
      <xdr:row>1</xdr:row>
      <xdr:rowOff>181694</xdr:rowOff>
    </xdr:to>
    <xdr:pic>
      <xdr:nvPicPr>
        <xdr:cNvPr id="7" name="Gráfico 6" descr="Círculo con flecha a la izquierda con relleno sóli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730885" y="13928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733426</xdr:colOff>
      <xdr:row>0</xdr:row>
      <xdr:rowOff>76201</xdr:rowOff>
    </xdr:from>
    <xdr:to>
      <xdr:col>8</xdr:col>
      <xdr:colOff>142876</xdr:colOff>
      <xdr:row>1</xdr:row>
      <xdr:rowOff>130629</xdr:rowOff>
    </xdr:to>
    <xdr:pic>
      <xdr:nvPicPr>
        <xdr:cNvPr id="2" name="Imagen 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1" y="76201"/>
          <a:ext cx="323850" cy="41637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285750</xdr:colOff>
      <xdr:row>0</xdr:row>
      <xdr:rowOff>85725</xdr:rowOff>
    </xdr:from>
    <xdr:to>
      <xdr:col>5</xdr:col>
      <xdr:colOff>857459</xdr:colOff>
      <xdr:row>2</xdr:row>
      <xdr:rowOff>152222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85725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571500</xdr:colOff>
      <xdr:row>1</xdr:row>
      <xdr:rowOff>92015</xdr:rowOff>
    </xdr:from>
    <xdr:to>
      <xdr:col>6</xdr:col>
      <xdr:colOff>975861</xdr:colOff>
      <xdr:row>2</xdr:row>
      <xdr:rowOff>115376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53225" y="282515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975862</xdr:colOff>
      <xdr:row>1</xdr:row>
      <xdr:rowOff>57150</xdr:rowOff>
    </xdr:from>
    <xdr:to>
      <xdr:col>7</xdr:col>
      <xdr:colOff>236146</xdr:colOff>
      <xdr:row>2</xdr:row>
      <xdr:rowOff>117534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57587" y="247650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234710</xdr:colOff>
      <xdr:row>1</xdr:row>
      <xdr:rowOff>91658</xdr:rowOff>
    </xdr:from>
    <xdr:to>
      <xdr:col>7</xdr:col>
      <xdr:colOff>639071</xdr:colOff>
      <xdr:row>2</xdr:row>
      <xdr:rowOff>115019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97535" y="282158"/>
          <a:ext cx="404361" cy="40436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0</xdr:row>
      <xdr:rowOff>76200</xdr:rowOff>
    </xdr:from>
    <xdr:to>
      <xdr:col>5</xdr:col>
      <xdr:colOff>895559</xdr:colOff>
      <xdr:row>2</xdr:row>
      <xdr:rowOff>142697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76200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561975</xdr:colOff>
      <xdr:row>1</xdr:row>
      <xdr:rowOff>63440</xdr:rowOff>
    </xdr:from>
    <xdr:to>
      <xdr:col>6</xdr:col>
      <xdr:colOff>966336</xdr:colOff>
      <xdr:row>2</xdr:row>
      <xdr:rowOff>86801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43700" y="253940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966337</xdr:colOff>
      <xdr:row>1</xdr:row>
      <xdr:rowOff>28575</xdr:rowOff>
    </xdr:from>
    <xdr:to>
      <xdr:col>7</xdr:col>
      <xdr:colOff>226621</xdr:colOff>
      <xdr:row>2</xdr:row>
      <xdr:rowOff>88959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48062" y="219075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225185</xdr:colOff>
      <xdr:row>1</xdr:row>
      <xdr:rowOff>63083</xdr:rowOff>
    </xdr:from>
    <xdr:to>
      <xdr:col>7</xdr:col>
      <xdr:colOff>629546</xdr:colOff>
      <xdr:row>2</xdr:row>
      <xdr:rowOff>86444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88010" y="253583"/>
          <a:ext cx="404361" cy="40436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0</xdr:row>
      <xdr:rowOff>104775</xdr:rowOff>
    </xdr:from>
    <xdr:to>
      <xdr:col>5</xdr:col>
      <xdr:colOff>866984</xdr:colOff>
      <xdr:row>2</xdr:row>
      <xdr:rowOff>171272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04775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571500</xdr:colOff>
      <xdr:row>1</xdr:row>
      <xdr:rowOff>101540</xdr:rowOff>
    </xdr:from>
    <xdr:to>
      <xdr:col>6</xdr:col>
      <xdr:colOff>975861</xdr:colOff>
      <xdr:row>2</xdr:row>
      <xdr:rowOff>124901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53225" y="292040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975862</xdr:colOff>
      <xdr:row>1</xdr:row>
      <xdr:rowOff>66675</xdr:rowOff>
    </xdr:from>
    <xdr:to>
      <xdr:col>7</xdr:col>
      <xdr:colOff>236146</xdr:colOff>
      <xdr:row>2</xdr:row>
      <xdr:rowOff>127059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57587" y="257175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234710</xdr:colOff>
      <xdr:row>1</xdr:row>
      <xdr:rowOff>101183</xdr:rowOff>
    </xdr:from>
    <xdr:to>
      <xdr:col>7</xdr:col>
      <xdr:colOff>639071</xdr:colOff>
      <xdr:row>2</xdr:row>
      <xdr:rowOff>124544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97535" y="291683"/>
          <a:ext cx="404361" cy="40436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0</xdr:row>
      <xdr:rowOff>76200</xdr:rowOff>
    </xdr:from>
    <xdr:to>
      <xdr:col>5</xdr:col>
      <xdr:colOff>895559</xdr:colOff>
      <xdr:row>2</xdr:row>
      <xdr:rowOff>142697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76200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571500</xdr:colOff>
      <xdr:row>1</xdr:row>
      <xdr:rowOff>72965</xdr:rowOff>
    </xdr:from>
    <xdr:to>
      <xdr:col>6</xdr:col>
      <xdr:colOff>975861</xdr:colOff>
      <xdr:row>2</xdr:row>
      <xdr:rowOff>96326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53225" y="263465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975862</xdr:colOff>
      <xdr:row>1</xdr:row>
      <xdr:rowOff>38100</xdr:rowOff>
    </xdr:from>
    <xdr:to>
      <xdr:col>7</xdr:col>
      <xdr:colOff>236146</xdr:colOff>
      <xdr:row>2</xdr:row>
      <xdr:rowOff>98484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57587" y="228600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234710</xdr:colOff>
      <xdr:row>1</xdr:row>
      <xdr:rowOff>72608</xdr:rowOff>
    </xdr:from>
    <xdr:to>
      <xdr:col>7</xdr:col>
      <xdr:colOff>639071</xdr:colOff>
      <xdr:row>2</xdr:row>
      <xdr:rowOff>95969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97535" y="263108"/>
          <a:ext cx="404361" cy="40436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0</xdr:row>
      <xdr:rowOff>85725</xdr:rowOff>
    </xdr:from>
    <xdr:to>
      <xdr:col>5</xdr:col>
      <xdr:colOff>895559</xdr:colOff>
      <xdr:row>2</xdr:row>
      <xdr:rowOff>152222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85725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542925</xdr:colOff>
      <xdr:row>1</xdr:row>
      <xdr:rowOff>101540</xdr:rowOff>
    </xdr:from>
    <xdr:to>
      <xdr:col>6</xdr:col>
      <xdr:colOff>947286</xdr:colOff>
      <xdr:row>2</xdr:row>
      <xdr:rowOff>124901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24650" y="292040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947287</xdr:colOff>
      <xdr:row>1</xdr:row>
      <xdr:rowOff>66675</xdr:rowOff>
    </xdr:from>
    <xdr:to>
      <xdr:col>7</xdr:col>
      <xdr:colOff>207571</xdr:colOff>
      <xdr:row>2</xdr:row>
      <xdr:rowOff>127059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29012" y="257175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206135</xdr:colOff>
      <xdr:row>1</xdr:row>
      <xdr:rowOff>101183</xdr:rowOff>
    </xdr:from>
    <xdr:to>
      <xdr:col>7</xdr:col>
      <xdr:colOff>610496</xdr:colOff>
      <xdr:row>2</xdr:row>
      <xdr:rowOff>124544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68960" y="291683"/>
          <a:ext cx="404361" cy="40436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314325</xdr:colOff>
      <xdr:row>0</xdr:row>
      <xdr:rowOff>104775</xdr:rowOff>
    </xdr:from>
    <xdr:to>
      <xdr:col>5</xdr:col>
      <xdr:colOff>886034</xdr:colOff>
      <xdr:row>2</xdr:row>
      <xdr:rowOff>171272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0" y="104775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542925</xdr:colOff>
      <xdr:row>1</xdr:row>
      <xdr:rowOff>15815</xdr:rowOff>
    </xdr:from>
    <xdr:to>
      <xdr:col>6</xdr:col>
      <xdr:colOff>947286</xdr:colOff>
      <xdr:row>2</xdr:row>
      <xdr:rowOff>39176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24650" y="206315"/>
          <a:ext cx="404361" cy="404361"/>
        </a:xfrm>
        <a:prstGeom prst="rect">
          <a:avLst/>
        </a:prstGeom>
      </xdr:spPr>
    </xdr:pic>
    <xdr:clientData/>
  </xdr:twoCellAnchor>
  <xdr:twoCellAnchor>
    <xdr:from>
      <xdr:col>6</xdr:col>
      <xdr:colOff>947287</xdr:colOff>
      <xdr:row>0</xdr:row>
      <xdr:rowOff>171450</xdr:rowOff>
    </xdr:from>
    <xdr:to>
      <xdr:col>7</xdr:col>
      <xdr:colOff>207571</xdr:colOff>
      <xdr:row>2</xdr:row>
      <xdr:rowOff>41334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129012" y="171450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206135</xdr:colOff>
      <xdr:row>1</xdr:row>
      <xdr:rowOff>15458</xdr:rowOff>
    </xdr:from>
    <xdr:to>
      <xdr:col>7</xdr:col>
      <xdr:colOff>610496</xdr:colOff>
      <xdr:row>2</xdr:row>
      <xdr:rowOff>38819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568960" y="205958"/>
          <a:ext cx="404361" cy="40436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0</xdr:row>
      <xdr:rowOff>95250</xdr:rowOff>
    </xdr:from>
    <xdr:to>
      <xdr:col>5</xdr:col>
      <xdr:colOff>895559</xdr:colOff>
      <xdr:row>2</xdr:row>
      <xdr:rowOff>161747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95250"/>
          <a:ext cx="571709" cy="637997"/>
        </a:xfrm>
        <a:prstGeom prst="rect">
          <a:avLst/>
        </a:prstGeom>
      </xdr:spPr>
    </xdr:pic>
    <xdr:clientData/>
  </xdr:twoCellAnchor>
  <xdr:twoCellAnchor>
    <xdr:from>
      <xdr:col>6</xdr:col>
      <xdr:colOff>790575</xdr:colOff>
      <xdr:row>1</xdr:row>
      <xdr:rowOff>44390</xdr:rowOff>
    </xdr:from>
    <xdr:to>
      <xdr:col>7</xdr:col>
      <xdr:colOff>13836</xdr:colOff>
      <xdr:row>2</xdr:row>
      <xdr:rowOff>67751</xdr:rowOff>
    </xdr:to>
    <xdr:pic>
      <xdr:nvPicPr>
        <xdr:cNvPr id="6" name="Gráfico 5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6791325" y="234890"/>
          <a:ext cx="404361" cy="404361"/>
        </a:xfrm>
        <a:prstGeom prst="rect">
          <a:avLst/>
        </a:prstGeom>
      </xdr:spPr>
    </xdr:pic>
    <xdr:clientData/>
  </xdr:twoCellAnchor>
  <xdr:twoCellAnchor>
    <xdr:from>
      <xdr:col>7</xdr:col>
      <xdr:colOff>51937</xdr:colOff>
      <xdr:row>1</xdr:row>
      <xdr:rowOff>9525</xdr:rowOff>
    </xdr:from>
    <xdr:to>
      <xdr:col>7</xdr:col>
      <xdr:colOff>493321</xdr:colOff>
      <xdr:row>2</xdr:row>
      <xdr:rowOff>69909</xdr:rowOff>
    </xdr:to>
    <xdr:pic>
      <xdr:nvPicPr>
        <xdr:cNvPr id="7" name="Gráfico 6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233787" y="200025"/>
          <a:ext cx="441384" cy="441384"/>
        </a:xfrm>
        <a:prstGeom prst="rect">
          <a:avLst/>
        </a:prstGeom>
      </xdr:spPr>
    </xdr:pic>
    <xdr:clientData/>
  </xdr:twoCellAnchor>
  <xdr:twoCellAnchor>
    <xdr:from>
      <xdr:col>7</xdr:col>
      <xdr:colOff>539509</xdr:colOff>
      <xdr:row>1</xdr:row>
      <xdr:rowOff>53558</xdr:rowOff>
    </xdr:from>
    <xdr:to>
      <xdr:col>7</xdr:col>
      <xdr:colOff>943870</xdr:colOff>
      <xdr:row>2</xdr:row>
      <xdr:rowOff>76919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7721359" y="244058"/>
          <a:ext cx="404361" cy="40436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15</xdr:col>
      <xdr:colOff>0</xdr:colOff>
      <xdr:row>32</xdr:row>
      <xdr:rowOff>139620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1115674" cy="6235620"/>
        </a:xfrm>
        <a:prstGeom prst="rect">
          <a:avLst/>
        </a:prstGeom>
      </xdr:spPr>
    </xdr:pic>
    <xdr:clientData/>
  </xdr:twoCellAnchor>
  <xdr:twoCellAnchor>
    <xdr:from>
      <xdr:col>7</xdr:col>
      <xdr:colOff>504825</xdr:colOff>
      <xdr:row>28</xdr:row>
      <xdr:rowOff>82490</xdr:rowOff>
    </xdr:from>
    <xdr:to>
      <xdr:col>8</xdr:col>
      <xdr:colOff>147186</xdr:colOff>
      <xdr:row>30</xdr:row>
      <xdr:rowOff>105851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838825" y="5416490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28</xdr:row>
      <xdr:rowOff>66675</xdr:rowOff>
    </xdr:from>
    <xdr:to>
      <xdr:col>8</xdr:col>
      <xdr:colOff>628650</xdr:colOff>
      <xdr:row>30</xdr:row>
      <xdr:rowOff>102053</xdr:rowOff>
    </xdr:to>
    <xdr:pic>
      <xdr:nvPicPr>
        <xdr:cNvPr id="8" name="Imag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5400675"/>
          <a:ext cx="323850" cy="4163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61562</xdr:rowOff>
    </xdr:from>
    <xdr:to>
      <xdr:col>1</xdr:col>
      <xdr:colOff>152400</xdr:colOff>
      <xdr:row>4</xdr:row>
      <xdr:rowOff>309212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BD2464-DC62-4A64-BB8E-7CCA0E22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23512"/>
          <a:ext cx="0" cy="828675"/>
        </a:xfrm>
        <a:prstGeom prst="rect">
          <a:avLst/>
        </a:prstGeom>
      </xdr:spPr>
    </xdr:pic>
    <xdr:clientData/>
  </xdr:twoCellAnchor>
  <xdr:twoCellAnchor>
    <xdr:from>
      <xdr:col>7</xdr:col>
      <xdr:colOff>904875</xdr:colOff>
      <xdr:row>0</xdr:row>
      <xdr:rowOff>139640</xdr:rowOff>
    </xdr:from>
    <xdr:to>
      <xdr:col>8</xdr:col>
      <xdr:colOff>394836</xdr:colOff>
      <xdr:row>1</xdr:row>
      <xdr:rowOff>182051</xdr:rowOff>
    </xdr:to>
    <xdr:pic>
      <xdr:nvPicPr>
        <xdr:cNvPr id="3" name="Gráfico 2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156E51-5708-4298-8D0C-F07038588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743450" y="139640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394837</xdr:colOff>
      <xdr:row>0</xdr:row>
      <xdr:rowOff>104775</xdr:rowOff>
    </xdr:from>
    <xdr:to>
      <xdr:col>8</xdr:col>
      <xdr:colOff>836221</xdr:colOff>
      <xdr:row>1</xdr:row>
      <xdr:rowOff>184209</xdr:rowOff>
    </xdr:to>
    <xdr:pic>
      <xdr:nvPicPr>
        <xdr:cNvPr id="4" name="Gráfico 3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4B96843-CD08-4569-8702-0A734226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5147812" y="104775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834785</xdr:colOff>
      <xdr:row>0</xdr:row>
      <xdr:rowOff>139283</xdr:rowOff>
    </xdr:from>
    <xdr:to>
      <xdr:col>8</xdr:col>
      <xdr:colOff>1239146</xdr:colOff>
      <xdr:row>1</xdr:row>
      <xdr:rowOff>181694</xdr:rowOff>
    </xdr:to>
    <xdr:pic>
      <xdr:nvPicPr>
        <xdr:cNvPr id="5" name="Gráfico 4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314412-332B-40CA-BB98-117AF1A1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587760" y="13928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</xdr:row>
      <xdr:rowOff>9525</xdr:rowOff>
    </xdr:from>
    <xdr:to>
      <xdr:col>1</xdr:col>
      <xdr:colOff>133350</xdr:colOff>
      <xdr:row>5</xdr:row>
      <xdr:rowOff>78174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54F8591-FA57-4576-85F7-210507EB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0" y="561975"/>
          <a:ext cx="0" cy="81159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</xdr:row>
      <xdr:rowOff>152400</xdr:rowOff>
    </xdr:from>
    <xdr:to>
      <xdr:col>2</xdr:col>
      <xdr:colOff>590550</xdr:colOff>
      <xdr:row>5</xdr:row>
      <xdr:rowOff>11499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20FD63A-0983-4746-B647-8986E75C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75" y="514350"/>
          <a:ext cx="752475" cy="7925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266700</xdr:colOff>
      <xdr:row>1</xdr:row>
      <xdr:rowOff>140153</xdr:rowOff>
    </xdr:to>
    <xdr:pic>
      <xdr:nvPicPr>
        <xdr:cNvPr id="8" name="Imagen 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2E3AC6-E287-4FA3-B0F4-FB54C4687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85725"/>
          <a:ext cx="323850" cy="416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495300</xdr:colOff>
      <xdr:row>4</xdr:row>
      <xdr:rowOff>198041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1950"/>
          <a:ext cx="742950" cy="788591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12" name="Gráfico 11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543425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13" name="Gráfico 12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947787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14" name="Gráfico 13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387735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</xdr:colOff>
      <xdr:row>23</xdr:row>
      <xdr:rowOff>28574</xdr:rowOff>
    </xdr:from>
    <xdr:to>
      <xdr:col>3</xdr:col>
      <xdr:colOff>29765</xdr:colOff>
      <xdr:row>42</xdr:row>
      <xdr:rowOff>133349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" y="4610099"/>
          <a:ext cx="1209278" cy="3857625"/>
        </a:xfrm>
        <a:prstGeom prst="rect">
          <a:avLst/>
        </a:prstGeom>
      </xdr:spPr>
    </xdr:pic>
    <xdr:clientData/>
  </xdr:twoCellAnchor>
  <xdr:twoCellAnchor editAs="oneCell">
    <xdr:from>
      <xdr:col>5</xdr:col>
      <xdr:colOff>1123950</xdr:colOff>
      <xdr:row>0</xdr:row>
      <xdr:rowOff>76200</xdr:rowOff>
    </xdr:from>
    <xdr:to>
      <xdr:col>7</xdr:col>
      <xdr:colOff>9525</xdr:colOff>
      <xdr:row>1</xdr:row>
      <xdr:rowOff>130628</xdr:rowOff>
    </xdr:to>
    <xdr:pic>
      <xdr:nvPicPr>
        <xdr:cNvPr id="5" name="Imagen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76200"/>
          <a:ext cx="323850" cy="4163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180975</xdr:rowOff>
    </xdr:from>
    <xdr:to>
      <xdr:col>2</xdr:col>
      <xdr:colOff>638175</xdr:colOff>
      <xdr:row>5</xdr:row>
      <xdr:rowOff>180975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42925"/>
          <a:ext cx="714375" cy="790575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0</xdr:row>
      <xdr:rowOff>34865</xdr:rowOff>
    </xdr:from>
    <xdr:to>
      <xdr:col>8</xdr:col>
      <xdr:colOff>423411</xdr:colOff>
      <xdr:row>1</xdr:row>
      <xdr:rowOff>77276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562475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423412</xdr:colOff>
      <xdr:row>0</xdr:row>
      <xdr:rowOff>0</xdr:rowOff>
    </xdr:from>
    <xdr:to>
      <xdr:col>8</xdr:col>
      <xdr:colOff>864796</xdr:colOff>
      <xdr:row>1</xdr:row>
      <xdr:rowOff>79434</xdr:rowOff>
    </xdr:to>
    <xdr:pic>
      <xdr:nvPicPr>
        <xdr:cNvPr id="9" name="Gráfico 8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966837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863360</xdr:colOff>
      <xdr:row>0</xdr:row>
      <xdr:rowOff>34508</xdr:rowOff>
    </xdr:from>
    <xdr:to>
      <xdr:col>8</xdr:col>
      <xdr:colOff>1267721</xdr:colOff>
      <xdr:row>1</xdr:row>
      <xdr:rowOff>76919</xdr:rowOff>
    </xdr:to>
    <xdr:pic>
      <xdr:nvPicPr>
        <xdr:cNvPr id="10" name="Gráfico 9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406785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38100</xdr:rowOff>
    </xdr:from>
    <xdr:to>
      <xdr:col>3</xdr:col>
      <xdr:colOff>28575</xdr:colOff>
      <xdr:row>36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9" t="16288" r="15993" b="-16288"/>
        <a:stretch/>
      </xdr:blipFill>
      <xdr:spPr>
        <a:xfrm>
          <a:off x="57150" y="4619625"/>
          <a:ext cx="1190625" cy="251460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1409700</xdr:colOff>
      <xdr:row>0</xdr:row>
      <xdr:rowOff>95250</xdr:rowOff>
    </xdr:from>
    <xdr:to>
      <xdr:col>7</xdr:col>
      <xdr:colOff>85725</xdr:colOff>
      <xdr:row>1</xdr:row>
      <xdr:rowOff>149678</xdr:rowOff>
    </xdr:to>
    <xdr:pic>
      <xdr:nvPicPr>
        <xdr:cNvPr id="5" name="Imagen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0" y="95250"/>
          <a:ext cx="323850" cy="4163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61562</xdr:rowOff>
    </xdr:from>
    <xdr:to>
      <xdr:col>1</xdr:col>
      <xdr:colOff>152400</xdr:colOff>
      <xdr:row>5</xdr:row>
      <xdr:rowOff>109187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23512"/>
          <a:ext cx="0" cy="809625"/>
        </a:xfrm>
        <a:prstGeom prst="rect">
          <a:avLst/>
        </a:prstGeom>
      </xdr:spPr>
    </xdr:pic>
    <xdr:clientData/>
  </xdr:twoCellAnchor>
  <xdr:twoCellAnchor>
    <xdr:from>
      <xdr:col>7</xdr:col>
      <xdr:colOff>904875</xdr:colOff>
      <xdr:row>0</xdr:row>
      <xdr:rowOff>139640</xdr:rowOff>
    </xdr:from>
    <xdr:to>
      <xdr:col>8</xdr:col>
      <xdr:colOff>394836</xdr:colOff>
      <xdr:row>1</xdr:row>
      <xdr:rowOff>182051</xdr:rowOff>
    </xdr:to>
    <xdr:pic>
      <xdr:nvPicPr>
        <xdr:cNvPr id="8" name="Gráfico 7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7267575" y="139640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394837</xdr:colOff>
      <xdr:row>0</xdr:row>
      <xdr:rowOff>104775</xdr:rowOff>
    </xdr:from>
    <xdr:to>
      <xdr:col>8</xdr:col>
      <xdr:colOff>836221</xdr:colOff>
      <xdr:row>1</xdr:row>
      <xdr:rowOff>184209</xdr:rowOff>
    </xdr:to>
    <xdr:pic>
      <xdr:nvPicPr>
        <xdr:cNvPr id="9" name="Gráfico 8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671937" y="104775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834785</xdr:colOff>
      <xdr:row>0</xdr:row>
      <xdr:rowOff>139283</xdr:rowOff>
    </xdr:from>
    <xdr:to>
      <xdr:col>8</xdr:col>
      <xdr:colOff>1239146</xdr:colOff>
      <xdr:row>1</xdr:row>
      <xdr:rowOff>181694</xdr:rowOff>
    </xdr:to>
    <xdr:pic>
      <xdr:nvPicPr>
        <xdr:cNvPr id="10" name="Gráfico 9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8111885" y="139283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</xdr:row>
      <xdr:rowOff>9525</xdr:rowOff>
    </xdr:from>
    <xdr:to>
      <xdr:col>1</xdr:col>
      <xdr:colOff>133350</xdr:colOff>
      <xdr:row>6</xdr:row>
      <xdr:rowOff>40074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0" y="561975"/>
          <a:ext cx="804742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0</xdr:row>
      <xdr:rowOff>0</xdr:rowOff>
    </xdr:from>
    <xdr:to>
      <xdr:col>2</xdr:col>
      <xdr:colOff>723900</xdr:colOff>
      <xdr:row>3</xdr:row>
      <xdr:rowOff>40074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6225" y="0"/>
          <a:ext cx="752475" cy="7925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266700</xdr:colOff>
      <xdr:row>1</xdr:row>
      <xdr:rowOff>140153</xdr:rowOff>
    </xdr:to>
    <xdr:pic>
      <xdr:nvPicPr>
        <xdr:cNvPr id="4" name="Imagen 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85725"/>
          <a:ext cx="323850" cy="416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114300</xdr:rowOff>
    </xdr:from>
    <xdr:to>
      <xdr:col>2</xdr:col>
      <xdr:colOff>685800</xdr:colOff>
      <xdr:row>6</xdr:row>
      <xdr:rowOff>152594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76250"/>
          <a:ext cx="800100" cy="80962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34865</xdr:rowOff>
    </xdr:from>
    <xdr:to>
      <xdr:col>8</xdr:col>
      <xdr:colOff>404361</xdr:colOff>
      <xdr:row>1</xdr:row>
      <xdr:rowOff>77276</xdr:rowOff>
    </xdr:to>
    <xdr:pic>
      <xdr:nvPicPr>
        <xdr:cNvPr id="7" name="Gráfico 6" descr="Círculo con flecha a la izquierda con relleno sóli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543425" y="34865"/>
          <a:ext cx="404361" cy="404361"/>
        </a:xfrm>
        <a:prstGeom prst="rect">
          <a:avLst/>
        </a:prstGeom>
      </xdr:spPr>
    </xdr:pic>
    <xdr:clientData/>
  </xdr:twoCellAnchor>
  <xdr:twoCellAnchor>
    <xdr:from>
      <xdr:col>8</xdr:col>
      <xdr:colOff>404362</xdr:colOff>
      <xdr:row>0</xdr:row>
      <xdr:rowOff>0</xdr:rowOff>
    </xdr:from>
    <xdr:to>
      <xdr:col>8</xdr:col>
      <xdr:colOff>845746</xdr:colOff>
      <xdr:row>1</xdr:row>
      <xdr:rowOff>79434</xdr:rowOff>
    </xdr:to>
    <xdr:pic>
      <xdr:nvPicPr>
        <xdr:cNvPr id="8" name="Gráfico 7" descr="Hogar con relleno sóli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947787" y="0"/>
          <a:ext cx="441384" cy="441384"/>
        </a:xfrm>
        <a:prstGeom prst="rect">
          <a:avLst/>
        </a:prstGeom>
      </xdr:spPr>
    </xdr:pic>
    <xdr:clientData/>
  </xdr:twoCellAnchor>
  <xdr:twoCellAnchor>
    <xdr:from>
      <xdr:col>8</xdr:col>
      <xdr:colOff>844310</xdr:colOff>
      <xdr:row>0</xdr:row>
      <xdr:rowOff>34508</xdr:rowOff>
    </xdr:from>
    <xdr:to>
      <xdr:col>8</xdr:col>
      <xdr:colOff>1248671</xdr:colOff>
      <xdr:row>1</xdr:row>
      <xdr:rowOff>76919</xdr:rowOff>
    </xdr:to>
    <xdr:pic>
      <xdr:nvPicPr>
        <xdr:cNvPr id="9" name="Gráfico 8" descr="Círculo con flecha a la izquierda con relleno sólid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 rot="10643972">
          <a:off x="5387735" y="34508"/>
          <a:ext cx="404361" cy="404361"/>
        </a:xfrm>
        <a:prstGeom prst="rect">
          <a:avLst/>
        </a:prstGeom>
      </xdr:spPr>
    </xdr:pic>
    <xdr:clientData/>
  </xdr:twoCellAnchor>
  <xdr:twoCellAnchor editAs="oneCell">
    <xdr:from>
      <xdr:col>5</xdr:col>
      <xdr:colOff>1078852</xdr:colOff>
      <xdr:row>0</xdr:row>
      <xdr:rowOff>48597</xdr:rowOff>
    </xdr:from>
    <xdr:to>
      <xdr:col>6</xdr:col>
      <xdr:colOff>22549</xdr:colOff>
      <xdr:row>1</xdr:row>
      <xdr:rowOff>105358</xdr:rowOff>
    </xdr:to>
    <xdr:pic>
      <xdr:nvPicPr>
        <xdr:cNvPr id="3" name="Imagen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14" y="48597"/>
          <a:ext cx="323850" cy="41637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BE4A12A-52A8-41D3-8E4F-54D7F4607709}" name="Tabla2" displayName="Tabla2" ref="A1:C24" totalsRowShown="0">
  <autoFilter ref="A1:C24" xr:uid="{BDD5A943-CC95-4269-8F1C-8BB3BFC1C47A}"/>
  <tableColumns count="3">
    <tableColumn id="1" xr3:uid="{2F2DEC7F-74C3-45C6-ABEE-E26505CC53A1}" name="País / Región"/>
    <tableColumn id="2" xr3:uid="{0807565C-75B0-41AF-9664-D8A24077316D}" name="Fecha" dataDxfId="77"/>
    <tableColumn id="3" xr3:uid="{DE34BF42-4DFC-471D-A03D-1DE25CC84EF7}" name="Celebración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secretariasenado.gov.co/senado/basedoc/estatuto_tributario_pr015.html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://www.sfai.co/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://www.sfai.co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hyperlink" Target="https://normograma.dian.gov.co/dian/compilacion/docs/resolucion_dian_0124_2021.htm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hyperlink" Target="https://incp.org.co/wp-content/uploads/2022/11/Circular-Externa-No-100-000012-de-2022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01BBC-E432-4EDC-9EE5-C6B270D7550D}">
  <sheetPr>
    <tabColor rgb="FFFFC000"/>
  </sheetPr>
  <dimension ref="A1:C24"/>
  <sheetViews>
    <sheetView showGridLines="0" view="pageBreakPreview" zoomScale="60" zoomScaleNormal="100" workbookViewId="0">
      <pane ySplit="1" topLeftCell="A2" activePane="bottomLeft" state="frozen"/>
      <selection pane="bottomLeft" activeCell="A14" sqref="A14"/>
    </sheetView>
  </sheetViews>
  <sheetFormatPr baseColWidth="10" defaultColWidth="11.5703125" defaultRowHeight="15" x14ac:dyDescent="0.25"/>
  <cols>
    <col min="1" max="1" width="14.28515625" bestFit="1" customWidth="1"/>
    <col min="2" max="2" width="12.85546875" customWidth="1"/>
    <col min="3" max="3" width="38.5703125" customWidth="1"/>
  </cols>
  <sheetData>
    <row r="1" spans="1:3" x14ac:dyDescent="0.25">
      <c r="A1" t="s">
        <v>22</v>
      </c>
      <c r="B1" t="s">
        <v>20</v>
      </c>
      <c r="C1" t="s">
        <v>21</v>
      </c>
    </row>
    <row r="2" spans="1:3" x14ac:dyDescent="0.25">
      <c r="A2" t="s">
        <v>32</v>
      </c>
      <c r="B2" s="42">
        <v>44927</v>
      </c>
      <c r="C2" t="s">
        <v>15</v>
      </c>
    </row>
    <row r="3" spans="1:3" x14ac:dyDescent="0.25">
      <c r="A3" t="s">
        <v>32</v>
      </c>
      <c r="B3" s="42">
        <v>44935</v>
      </c>
      <c r="C3" t="s">
        <v>18</v>
      </c>
    </row>
    <row r="4" spans="1:3" x14ac:dyDescent="0.25">
      <c r="A4" t="s">
        <v>32</v>
      </c>
      <c r="B4" s="42">
        <v>45005</v>
      </c>
      <c r="C4" t="s">
        <v>33</v>
      </c>
    </row>
    <row r="5" spans="1:3" x14ac:dyDescent="0.25">
      <c r="A5" t="s">
        <v>32</v>
      </c>
      <c r="B5" s="42">
        <v>45022</v>
      </c>
      <c r="C5" t="s">
        <v>25</v>
      </c>
    </row>
    <row r="6" spans="1:3" x14ac:dyDescent="0.25">
      <c r="A6" t="s">
        <v>32</v>
      </c>
      <c r="B6" s="42">
        <v>45023</v>
      </c>
      <c r="C6" t="s">
        <v>16</v>
      </c>
    </row>
    <row r="7" spans="1:3" x14ac:dyDescent="0.25">
      <c r="A7" t="s">
        <v>32</v>
      </c>
      <c r="B7" s="42">
        <v>45047</v>
      </c>
      <c r="C7" t="s">
        <v>12</v>
      </c>
    </row>
    <row r="8" spans="1:3" x14ac:dyDescent="0.25">
      <c r="A8" t="s">
        <v>32</v>
      </c>
      <c r="B8" s="42">
        <v>45068</v>
      </c>
      <c r="C8" t="s">
        <v>34</v>
      </c>
    </row>
    <row r="9" spans="1:3" x14ac:dyDescent="0.25">
      <c r="A9" t="s">
        <v>32</v>
      </c>
      <c r="B9" s="42">
        <v>45089</v>
      </c>
      <c r="C9" t="s">
        <v>35</v>
      </c>
    </row>
    <row r="10" spans="1:3" x14ac:dyDescent="0.25">
      <c r="A10" t="s">
        <v>32</v>
      </c>
      <c r="B10" s="42">
        <v>45096</v>
      </c>
      <c r="C10" t="s">
        <v>36</v>
      </c>
    </row>
    <row r="11" spans="1:3" x14ac:dyDescent="0.25">
      <c r="A11" t="s">
        <v>32</v>
      </c>
      <c r="B11" s="42">
        <v>45110</v>
      </c>
      <c r="C11" t="s">
        <v>37</v>
      </c>
    </row>
    <row r="12" spans="1:3" x14ac:dyDescent="0.25">
      <c r="A12" t="s">
        <v>32</v>
      </c>
      <c r="B12" s="42">
        <v>45127</v>
      </c>
      <c r="C12" t="s">
        <v>11</v>
      </c>
    </row>
    <row r="13" spans="1:3" x14ac:dyDescent="0.25">
      <c r="A13" t="s">
        <v>32</v>
      </c>
      <c r="B13" s="42">
        <v>45145</v>
      </c>
      <c r="C13" t="s">
        <v>38</v>
      </c>
    </row>
    <row r="14" spans="1:3" x14ac:dyDescent="0.25">
      <c r="A14" t="s">
        <v>32</v>
      </c>
      <c r="B14" s="42">
        <v>45159</v>
      </c>
      <c r="C14" t="s">
        <v>19</v>
      </c>
    </row>
    <row r="15" spans="1:3" x14ac:dyDescent="0.25">
      <c r="A15" t="s">
        <v>32</v>
      </c>
      <c r="B15" s="42">
        <v>45215</v>
      </c>
      <c r="C15" t="s">
        <v>39</v>
      </c>
    </row>
    <row r="16" spans="1:3" x14ac:dyDescent="0.25">
      <c r="A16" t="s">
        <v>32</v>
      </c>
      <c r="B16" s="42">
        <v>45236</v>
      </c>
      <c r="C16" t="s">
        <v>40</v>
      </c>
    </row>
    <row r="17" spans="1:3" x14ac:dyDescent="0.25">
      <c r="A17" t="s">
        <v>32</v>
      </c>
      <c r="B17" s="42">
        <v>45243</v>
      </c>
      <c r="C17" t="s">
        <v>41</v>
      </c>
    </row>
    <row r="18" spans="1:3" x14ac:dyDescent="0.25">
      <c r="A18" t="s">
        <v>32</v>
      </c>
      <c r="B18" s="42">
        <v>45268</v>
      </c>
      <c r="C18" t="s">
        <v>17</v>
      </c>
    </row>
    <row r="19" spans="1:3" x14ac:dyDescent="0.25">
      <c r="A19" t="s">
        <v>32</v>
      </c>
      <c r="B19" s="42">
        <v>45285</v>
      </c>
      <c r="C19" t="s">
        <v>13</v>
      </c>
    </row>
    <row r="20" spans="1:3" x14ac:dyDescent="0.25">
      <c r="B20" s="42"/>
    </row>
    <row r="21" spans="1:3" x14ac:dyDescent="0.25">
      <c r="B21" s="42"/>
    </row>
    <row r="22" spans="1:3" x14ac:dyDescent="0.25">
      <c r="B22" s="42"/>
    </row>
    <row r="23" spans="1:3" x14ac:dyDescent="0.25">
      <c r="B23" s="42"/>
    </row>
    <row r="24" spans="1:3" x14ac:dyDescent="0.25">
      <c r="B24" s="4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E001-2894-46F3-B52D-9B7AD4884B1A}">
  <sheetPr>
    <tabColor theme="0"/>
  </sheetPr>
  <dimension ref="A1:J25"/>
  <sheetViews>
    <sheetView showGridLines="0" showRowColHeaders="0" zoomScale="98" zoomScaleNormal="98" workbookViewId="0"/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0.7109375" customWidth="1"/>
    <col min="7" max="7" width="0.85546875" style="10" customWidth="1"/>
    <col min="8" max="8" width="13.7109375" customWidth="1"/>
    <col min="9" max="9" width="20.7109375" customWidth="1"/>
    <col min="10" max="10" width="0.85546875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562" t="s">
        <v>163</v>
      </c>
      <c r="F3" s="562"/>
      <c r="G3" s="562"/>
      <c r="H3" s="562"/>
      <c r="I3" s="562"/>
      <c r="J3" s="562"/>
    </row>
    <row r="4" spans="2:10" ht="5.25" customHeight="1" x14ac:dyDescent="0.25">
      <c r="B4" s="546"/>
      <c r="C4" s="546"/>
    </row>
    <row r="5" spans="2:10" ht="15.75" customHeight="1" x14ac:dyDescent="0.25">
      <c r="B5" s="546"/>
      <c r="C5" s="546"/>
      <c r="E5" s="147" t="s">
        <v>162</v>
      </c>
      <c r="F5" s="147"/>
      <c r="G5" s="147"/>
      <c r="H5" s="147"/>
      <c r="I5" s="147"/>
      <c r="J5" s="147"/>
    </row>
    <row r="6" spans="2:10" s="10" customFormat="1" ht="9" customHeight="1" x14ac:dyDescent="0.25">
      <c r="B6" s="546"/>
      <c r="C6" s="546"/>
      <c r="E6" s="187"/>
      <c r="F6" s="187"/>
      <c r="G6" s="187"/>
      <c r="H6" s="187"/>
      <c r="I6" s="187"/>
      <c r="J6" s="187"/>
    </row>
    <row r="7" spans="2:10" ht="15.75" customHeight="1" x14ac:dyDescent="0.25">
      <c r="B7" s="546"/>
      <c r="C7" s="546"/>
      <c r="E7" s="147" t="s">
        <v>737</v>
      </c>
      <c r="F7" s="147"/>
      <c r="G7" s="147"/>
      <c r="H7" s="147"/>
      <c r="I7" s="147"/>
      <c r="J7" s="147"/>
    </row>
    <row r="8" spans="2:10" ht="9.75" customHeight="1" x14ac:dyDescent="0.25">
      <c r="B8" s="546"/>
      <c r="C8" s="546"/>
      <c r="E8" s="148"/>
    </row>
    <row r="9" spans="2:10" x14ac:dyDescent="0.25">
      <c r="B9" s="563" t="s">
        <v>47</v>
      </c>
      <c r="C9" s="563"/>
      <c r="E9" s="564" t="s">
        <v>164</v>
      </c>
      <c r="F9" s="565"/>
      <c r="G9" s="149"/>
      <c r="H9" s="817" t="s">
        <v>738</v>
      </c>
      <c r="I9" s="818"/>
      <c r="J9" s="150"/>
    </row>
    <row r="10" spans="2:10" x14ac:dyDescent="0.25">
      <c r="B10" s="563"/>
      <c r="C10" s="563"/>
      <c r="E10" s="566"/>
      <c r="F10" s="567"/>
      <c r="G10" s="149"/>
      <c r="H10" s="818"/>
      <c r="I10" s="818"/>
      <c r="J10" s="150"/>
    </row>
    <row r="11" spans="2:10" x14ac:dyDescent="0.25">
      <c r="B11" s="555" t="s">
        <v>67</v>
      </c>
      <c r="C11" s="556"/>
      <c r="E11" s="568"/>
      <c r="F11" s="569"/>
      <c r="G11" s="149"/>
      <c r="H11" s="818"/>
      <c r="I11" s="818"/>
      <c r="J11" s="150"/>
    </row>
    <row r="12" spans="2:10" x14ac:dyDescent="0.25">
      <c r="B12" s="173"/>
      <c r="C12" s="172" t="s">
        <v>51</v>
      </c>
    </row>
    <row r="13" spans="2:10" ht="15" customHeight="1" x14ac:dyDescent="0.25">
      <c r="B13" s="557" t="s">
        <v>52</v>
      </c>
      <c r="C13" s="159" t="s">
        <v>53</v>
      </c>
      <c r="E13" s="559" t="s">
        <v>54</v>
      </c>
      <c r="F13" s="549" t="s">
        <v>55</v>
      </c>
      <c r="G13" s="175"/>
      <c r="H13" s="577" t="s">
        <v>165</v>
      </c>
      <c r="I13" s="578"/>
      <c r="J13" s="150"/>
    </row>
    <row r="14" spans="2:10" x14ac:dyDescent="0.25">
      <c r="B14" s="558"/>
      <c r="C14" s="160" t="s">
        <v>56</v>
      </c>
      <c r="E14" s="560"/>
      <c r="F14" s="550"/>
      <c r="G14" s="175"/>
      <c r="H14" s="579"/>
      <c r="I14" s="580"/>
      <c r="J14" s="150"/>
    </row>
    <row r="15" spans="2:10" x14ac:dyDescent="0.25">
      <c r="B15" s="558"/>
      <c r="C15" s="160" t="s">
        <v>57</v>
      </c>
      <c r="E15" s="151">
        <v>1</v>
      </c>
      <c r="F15" s="178">
        <v>45026</v>
      </c>
      <c r="G15" s="176"/>
      <c r="H15" s="579"/>
      <c r="I15" s="580"/>
    </row>
    <row r="16" spans="2:10" x14ac:dyDescent="0.25">
      <c r="B16" s="558"/>
      <c r="C16" s="160" t="s">
        <v>58</v>
      </c>
      <c r="E16" s="153">
        <v>2</v>
      </c>
      <c r="F16" s="154">
        <v>45027</v>
      </c>
      <c r="G16" s="176"/>
      <c r="H16" s="579"/>
      <c r="I16" s="580"/>
    </row>
    <row r="17" spans="2:9" x14ac:dyDescent="0.25">
      <c r="B17" s="558"/>
      <c r="C17" s="160" t="s">
        <v>59</v>
      </c>
      <c r="E17" s="153">
        <v>3</v>
      </c>
      <c r="F17" s="154">
        <v>45028</v>
      </c>
      <c r="G17" s="176"/>
      <c r="H17" s="579"/>
      <c r="I17" s="580"/>
    </row>
    <row r="18" spans="2:9" x14ac:dyDescent="0.25">
      <c r="B18" s="558"/>
      <c r="C18" s="160" t="s">
        <v>60</v>
      </c>
      <c r="E18" s="153">
        <v>4</v>
      </c>
      <c r="F18" s="163">
        <v>45029</v>
      </c>
      <c r="G18" s="176"/>
      <c r="H18" s="579"/>
      <c r="I18" s="580"/>
    </row>
    <row r="19" spans="2:9" x14ac:dyDescent="0.25">
      <c r="B19" s="558"/>
      <c r="C19" s="160" t="s">
        <v>61</v>
      </c>
      <c r="E19" s="153">
        <v>5</v>
      </c>
      <c r="F19" s="154">
        <v>45030</v>
      </c>
      <c r="G19" s="176"/>
      <c r="H19" s="579"/>
      <c r="I19" s="580"/>
    </row>
    <row r="20" spans="2:9" x14ac:dyDescent="0.25">
      <c r="B20" s="558"/>
      <c r="C20" s="160" t="s">
        <v>62</v>
      </c>
      <c r="E20" s="153">
        <v>6</v>
      </c>
      <c r="F20" s="154">
        <v>45033</v>
      </c>
      <c r="G20" s="176"/>
      <c r="H20" s="579"/>
      <c r="I20" s="580"/>
    </row>
    <row r="21" spans="2:9" x14ac:dyDescent="0.25">
      <c r="B21" s="558"/>
      <c r="C21" s="160" t="s">
        <v>63</v>
      </c>
      <c r="E21" s="153">
        <v>7</v>
      </c>
      <c r="F21" s="154">
        <v>45034</v>
      </c>
      <c r="G21" s="176"/>
      <c r="H21" s="579"/>
      <c r="I21" s="580"/>
    </row>
    <row r="22" spans="2:9" x14ac:dyDescent="0.25">
      <c r="B22" s="558"/>
      <c r="C22" s="160" t="s">
        <v>64</v>
      </c>
      <c r="E22" s="153">
        <v>8</v>
      </c>
      <c r="F22" s="154">
        <v>45035</v>
      </c>
      <c r="G22" s="176"/>
      <c r="H22" s="579"/>
      <c r="I22" s="580"/>
    </row>
    <row r="23" spans="2:9" x14ac:dyDescent="0.25">
      <c r="B23" s="558"/>
      <c r="C23" s="160" t="s">
        <v>65</v>
      </c>
      <c r="E23" s="153">
        <v>9</v>
      </c>
      <c r="F23" s="154">
        <v>45037</v>
      </c>
      <c r="G23" s="176"/>
      <c r="H23" s="579"/>
      <c r="I23" s="580"/>
    </row>
    <row r="24" spans="2:9" x14ac:dyDescent="0.25">
      <c r="B24" s="576"/>
      <c r="C24" s="161" t="s">
        <v>66</v>
      </c>
      <c r="E24" s="174">
        <v>0</v>
      </c>
      <c r="F24" s="177">
        <v>45037</v>
      </c>
      <c r="G24" s="176"/>
      <c r="H24" s="581"/>
      <c r="I24" s="582"/>
    </row>
    <row r="25" spans="2:9" ht="3" customHeight="1" x14ac:dyDescent="0.25"/>
  </sheetData>
  <sheetProtection sheet="1" objects="1" scenarios="1"/>
  <protectedRanges>
    <protectedRange algorithmName="SHA-512" hashValue="XvWQexvVb9syoTp8EsFgW9P3eb+lewFYxayOwYAfC7Y7Wpn02CG/wkojJ2ookApm9D4aTWNRKmyjUI/SoOGBzQ==" saltValue="GGj2FHvqlc0JpVanYImX2A==" spinCount="100000" sqref="E13:F24" name="RSTDeclaraunica"/>
  </protectedRanges>
  <mergeCells count="10">
    <mergeCell ref="B13:B24"/>
    <mergeCell ref="E13:E14"/>
    <mergeCell ref="F13:F14"/>
    <mergeCell ref="B2:C8"/>
    <mergeCell ref="E3:J3"/>
    <mergeCell ref="B9:C10"/>
    <mergeCell ref="E9:F11"/>
    <mergeCell ref="B11:C11"/>
    <mergeCell ref="H13:I24"/>
    <mergeCell ref="H9:I11"/>
  </mergeCells>
  <hyperlinks>
    <hyperlink ref="B13:B24" location="Anual!A1" display="Calendario" xr:uid="{49EC692D-4F4E-4432-8D11-8EBA468E7B50}"/>
    <hyperlink ref="C13" location="Enero!A1" display="Enero" xr:uid="{BDCC9B20-4807-4859-B55E-33F7C4B2D66D}"/>
    <hyperlink ref="C14" location="Febrero!A1" display="Febrero" xr:uid="{1EB6F823-072F-4C34-9E00-FDCB2847842D}"/>
    <hyperlink ref="C15" location="Marzo!A1" display="Marzo" xr:uid="{0D545A56-09A2-4A08-B5FD-B92B183D5B0F}"/>
    <hyperlink ref="C16" location="Abril!A1" display="Abril" xr:uid="{1327BE64-1E97-447D-A180-64307A90DD5D}"/>
    <hyperlink ref="C17" location="Mayo!A1" display="Mayo" xr:uid="{08E0122D-9C5C-4A9C-A883-9D96DFB6FC8A}"/>
    <hyperlink ref="C18" location="Junio!A1" display="Junio" xr:uid="{8623FFC7-5770-4BC4-9EBC-896A2E749243}"/>
    <hyperlink ref="C19" location="Julio!A1" display="Julio" xr:uid="{02DD0D64-1724-44DC-8D20-BCFB19ACB95A}"/>
    <hyperlink ref="C20" location="Agosto!A1" display="Agosto" xr:uid="{AB57BEAC-9F39-49EF-A5E9-FE80C320EF1A}"/>
    <hyperlink ref="C21" location="Septiembre!A1" display="Septiembre" xr:uid="{15568A7E-ADA5-49B0-840D-71D164B0534C}"/>
    <hyperlink ref="C22" location="Octubre!A1" display="Octubre" xr:uid="{538A0B8C-C490-49E3-8E4F-F1C94200FADF}"/>
    <hyperlink ref="C23" location="Noviembre!A1" display="Noviembre" xr:uid="{8F12F4C6-759F-485D-A407-A7AA91E8AC47}"/>
    <hyperlink ref="C24" location="Diciembre!A1" display="Diciembre" xr:uid="{84D1802F-6E11-454B-89D4-AA2DD52C2B61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22DB5-D6CD-4FAB-AB21-E3F3F941C760}">
  <dimension ref="A1:J24"/>
  <sheetViews>
    <sheetView showGridLines="0" showRowColHeaders="0" workbookViewId="0"/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8.42578125" customWidth="1"/>
    <col min="6" max="6" width="20.7109375" customWidth="1"/>
    <col min="7" max="7" width="0.85546875" style="10" customWidth="1"/>
    <col min="8" max="8" width="13.7109375" customWidth="1"/>
    <col min="9" max="9" width="20.7109375" customWidth="1"/>
    <col min="10" max="10" width="0.85546875" style="10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188" t="s">
        <v>163</v>
      </c>
      <c r="F3" s="188"/>
      <c r="G3" s="188"/>
      <c r="H3" s="188"/>
      <c r="I3" s="188"/>
      <c r="J3" s="191"/>
    </row>
    <row r="4" spans="2:10" x14ac:dyDescent="0.25">
      <c r="B4" s="546"/>
      <c r="C4" s="546"/>
    </row>
    <row r="5" spans="2:10" ht="15.75" customHeight="1" x14ac:dyDescent="0.25">
      <c r="B5" s="546"/>
      <c r="C5" s="546"/>
      <c r="E5" s="147" t="s">
        <v>173</v>
      </c>
      <c r="F5" s="147"/>
      <c r="G5" s="147"/>
      <c r="H5" s="147"/>
      <c r="I5" s="147"/>
      <c r="J5" s="187"/>
    </row>
    <row r="6" spans="2:10" ht="15" customHeight="1" x14ac:dyDescent="0.25">
      <c r="B6" s="546"/>
      <c r="C6" s="546"/>
      <c r="E6" s="148"/>
    </row>
    <row r="7" spans="2:10" ht="15" customHeight="1" x14ac:dyDescent="0.25">
      <c r="B7" s="563" t="s">
        <v>47</v>
      </c>
      <c r="C7" s="563"/>
      <c r="E7" s="564" t="s">
        <v>164</v>
      </c>
      <c r="F7" s="565"/>
      <c r="G7" s="149"/>
      <c r="H7" s="182"/>
      <c r="I7" s="182"/>
      <c r="J7" s="149"/>
    </row>
    <row r="8" spans="2:10" x14ac:dyDescent="0.25">
      <c r="B8" s="563"/>
      <c r="C8" s="563"/>
      <c r="E8" s="566"/>
      <c r="F8" s="567"/>
      <c r="G8" s="149"/>
      <c r="H8" s="182"/>
      <c r="I8" s="182"/>
      <c r="J8" s="149"/>
    </row>
    <row r="9" spans="2:10" x14ac:dyDescent="0.25">
      <c r="B9" s="555" t="s">
        <v>67</v>
      </c>
      <c r="C9" s="556"/>
      <c r="E9" s="568"/>
      <c r="F9" s="569"/>
      <c r="G9" s="149"/>
      <c r="H9" s="182"/>
      <c r="I9" s="182"/>
      <c r="J9" s="149"/>
    </row>
    <row r="10" spans="2:10" x14ac:dyDescent="0.25">
      <c r="B10" s="173"/>
      <c r="C10" s="172" t="s">
        <v>51</v>
      </c>
    </row>
    <row r="11" spans="2:10" ht="15" customHeight="1" x14ac:dyDescent="0.25">
      <c r="B11" s="557" t="s">
        <v>52</v>
      </c>
      <c r="C11" s="159" t="s">
        <v>53</v>
      </c>
      <c r="E11" s="559" t="s">
        <v>166</v>
      </c>
      <c r="F11" s="549" t="s">
        <v>55</v>
      </c>
      <c r="G11" s="175"/>
      <c r="H11" s="583" t="s">
        <v>172</v>
      </c>
      <c r="I11" s="584"/>
      <c r="J11" s="149"/>
    </row>
    <row r="12" spans="2:10" x14ac:dyDescent="0.25">
      <c r="B12" s="558"/>
      <c r="C12" s="160" t="s">
        <v>56</v>
      </c>
      <c r="E12" s="560"/>
      <c r="F12" s="550"/>
      <c r="G12" s="175"/>
      <c r="H12" s="585"/>
      <c r="I12" s="586"/>
      <c r="J12" s="149"/>
    </row>
    <row r="13" spans="2:10" x14ac:dyDescent="0.25">
      <c r="B13" s="558"/>
      <c r="C13" s="160" t="s">
        <v>57</v>
      </c>
      <c r="E13" s="179" t="s">
        <v>167</v>
      </c>
      <c r="F13" s="178">
        <v>45026</v>
      </c>
      <c r="G13" s="176"/>
      <c r="H13" s="585"/>
      <c r="I13" s="586"/>
    </row>
    <row r="14" spans="2:10" x14ac:dyDescent="0.25">
      <c r="B14" s="558"/>
      <c r="C14" s="160" t="s">
        <v>58</v>
      </c>
      <c r="E14" s="180" t="s">
        <v>168</v>
      </c>
      <c r="F14" s="154">
        <v>45027</v>
      </c>
      <c r="G14" s="176"/>
      <c r="H14" s="585"/>
      <c r="I14" s="586"/>
    </row>
    <row r="15" spans="2:10" x14ac:dyDescent="0.25">
      <c r="B15" s="558"/>
      <c r="C15" s="160" t="s">
        <v>59</v>
      </c>
      <c r="E15" s="180" t="s">
        <v>169</v>
      </c>
      <c r="F15" s="154">
        <v>45028</v>
      </c>
      <c r="G15" s="176"/>
      <c r="H15" s="585"/>
      <c r="I15" s="586"/>
    </row>
    <row r="16" spans="2:10" x14ac:dyDescent="0.25">
      <c r="B16" s="558"/>
      <c r="C16" s="160" t="s">
        <v>60</v>
      </c>
      <c r="E16" s="180" t="s">
        <v>170</v>
      </c>
      <c r="F16" s="163">
        <v>45029</v>
      </c>
      <c r="G16" s="176"/>
      <c r="H16" s="585"/>
      <c r="I16" s="586"/>
    </row>
    <row r="17" spans="2:9" x14ac:dyDescent="0.25">
      <c r="B17" s="558"/>
      <c r="C17" s="160" t="s">
        <v>61</v>
      </c>
      <c r="E17" s="181" t="s">
        <v>171</v>
      </c>
      <c r="F17" s="166">
        <v>45030</v>
      </c>
      <c r="G17" s="176"/>
      <c r="H17" s="585"/>
      <c r="I17" s="586"/>
    </row>
    <row r="18" spans="2:9" x14ac:dyDescent="0.25">
      <c r="B18" s="558"/>
      <c r="C18" s="160" t="s">
        <v>62</v>
      </c>
      <c r="E18" s="589"/>
      <c r="F18" s="590"/>
      <c r="H18" s="585"/>
      <c r="I18" s="586"/>
    </row>
    <row r="19" spans="2:9" x14ac:dyDescent="0.25">
      <c r="B19" s="558"/>
      <c r="C19" s="160" t="s">
        <v>63</v>
      </c>
      <c r="E19" s="591"/>
      <c r="F19" s="592"/>
      <c r="H19" s="585"/>
      <c r="I19" s="586"/>
    </row>
    <row r="20" spans="2:9" x14ac:dyDescent="0.25">
      <c r="B20" s="558"/>
      <c r="C20" s="160" t="s">
        <v>64</v>
      </c>
      <c r="E20" s="591"/>
      <c r="F20" s="592"/>
      <c r="H20" s="585"/>
      <c r="I20" s="586"/>
    </row>
    <row r="21" spans="2:9" x14ac:dyDescent="0.25">
      <c r="B21" s="558"/>
      <c r="C21" s="160" t="s">
        <v>65</v>
      </c>
      <c r="E21" s="591"/>
      <c r="F21" s="592"/>
      <c r="H21" s="585"/>
      <c r="I21" s="586"/>
    </row>
    <row r="22" spans="2:9" x14ac:dyDescent="0.25">
      <c r="B22" s="576"/>
      <c r="C22" s="161" t="s">
        <v>66</v>
      </c>
      <c r="E22" s="593"/>
      <c r="F22" s="594"/>
      <c r="H22" s="587"/>
      <c r="I22" s="588"/>
    </row>
    <row r="23" spans="2:9" ht="3" customHeight="1" x14ac:dyDescent="0.25"/>
    <row r="24" spans="2:9" ht="5.25" customHeight="1" x14ac:dyDescent="0.25"/>
  </sheetData>
  <sheetProtection algorithmName="SHA-512" hashValue="VJSUkpT+EsiUeUXJX03LRLZTN7rCyDhW0ARRCs04Hmok8RCMgN6gyxnCvbGsJU9VmqJV7vdnhBHboDKZEjZPPw==" saltValue="yuZBg9bN/26/beJBNAyAvg==" spinCount="100000" sheet="1" objects="1" scenarios="1"/>
  <protectedRanges>
    <protectedRange algorithmName="SHA-512" hashValue="cTJC+ByogchqoyASR4LU60e9eVEDMommc3ejqSXUySx1YdcuSknZeUXfUCWEnxmz4mdxN2FnnWvpgxcRa87bfg==" saltValue="j/zA5NLfSBTicer9oKnq0Q==" spinCount="100000" sqref="E11:F17" name="RSTIvaconsolidado"/>
  </protectedRanges>
  <mergeCells count="9">
    <mergeCell ref="H11:I22"/>
    <mergeCell ref="E18:F22"/>
    <mergeCell ref="B2:C6"/>
    <mergeCell ref="B7:C8"/>
    <mergeCell ref="E7:F9"/>
    <mergeCell ref="B9:C9"/>
    <mergeCell ref="B11:B22"/>
    <mergeCell ref="E11:E12"/>
    <mergeCell ref="F11:F12"/>
  </mergeCells>
  <hyperlinks>
    <hyperlink ref="B11:B22" location="Anual!A1" display="Calendario" xr:uid="{4E3D0CF9-0985-48F6-8A1A-53996AFB6AF6}"/>
    <hyperlink ref="C11" location="Enero!A1" display="Enero" xr:uid="{7A1300F3-C8BD-4FFC-86AA-B2C36190CF59}"/>
    <hyperlink ref="C12" location="Febrero!A1" display="Febrero" xr:uid="{D2409699-0EB9-473C-9F54-12F3A1BAF2F8}"/>
    <hyperlink ref="C13" location="Marzo!A1" display="Marzo" xr:uid="{72CEFB7A-216F-4AEA-8537-C06CFF1A7C92}"/>
    <hyperlink ref="C14" location="Abril!A1" display="Abril" xr:uid="{81F1DBF9-5140-49AD-AB7B-0BC0CF5CCBD5}"/>
    <hyperlink ref="C15" location="Mayo!A1" display="Mayo" xr:uid="{64FC23D4-B009-4D26-AFCC-F6657C3A62FB}"/>
    <hyperlink ref="C16" location="Junio!A1" display="Junio" xr:uid="{07F6DF32-BAED-407B-9745-96DDB509E3A0}"/>
    <hyperlink ref="C17" location="Julio!A1" display="Julio" xr:uid="{3D02DAB3-4C96-4E5E-B0F5-38544D5FC90C}"/>
    <hyperlink ref="C18" location="Agosto!A1" display="Agosto" xr:uid="{7708FBF4-D79C-4454-B2D9-950A13B35FAE}"/>
    <hyperlink ref="C19" location="Septiembre!A1" display="Septiembre" xr:uid="{FC44C64D-769D-4DD1-91D0-2973BAE09B75}"/>
    <hyperlink ref="C20" location="Octubre!A1" display="Octubre" xr:uid="{5272BDFE-D43B-4893-A1C5-96B1836795CF}"/>
    <hyperlink ref="C21" location="Noviembre!A1" display="Noviembre" xr:uid="{423CD638-0F88-4C45-BC15-F312CE24314A}"/>
    <hyperlink ref="C22" location="Diciembre!A1" display="Diciembre" xr:uid="{19AFCC17-437C-4336-A6A6-3A4B91BCBEF7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374B8-BDBE-4EF4-9D65-9E8BF25BA1A5}">
  <dimension ref="A1:M42"/>
  <sheetViews>
    <sheetView showGridLines="0" showRowColHeaders="0" topLeftCell="A6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style="10" customWidth="1"/>
    <col min="8" max="8" width="13.7109375" customWidth="1"/>
    <col min="9" max="9" width="23.28515625" bestFit="1" customWidth="1"/>
    <col min="10" max="10" width="0.85546875" customWidth="1"/>
    <col min="11" max="11" width="13.7109375" customWidth="1"/>
    <col min="12" max="12" width="20.7109375" customWidth="1"/>
    <col min="13" max="13" width="0.85546875" customWidth="1"/>
    <col min="14" max="16384" width="11.42578125" hidden="1"/>
  </cols>
  <sheetData>
    <row r="1" spans="2:12" ht="28.5" customHeight="1" x14ac:dyDescent="0.25"/>
    <row r="2" spans="2:12" ht="15" customHeight="1" x14ac:dyDescent="0.25">
      <c r="B2" s="546"/>
      <c r="C2" s="546"/>
    </row>
    <row r="3" spans="2:12" ht="15.75" x14ac:dyDescent="0.25">
      <c r="B3" s="546"/>
      <c r="C3" s="546"/>
      <c r="E3" s="562" t="s">
        <v>175</v>
      </c>
      <c r="F3" s="562"/>
      <c r="G3" s="562"/>
      <c r="H3" s="562"/>
      <c r="I3" s="562"/>
      <c r="J3" s="562"/>
      <c r="K3" s="562"/>
      <c r="L3" s="562"/>
    </row>
    <row r="4" spans="2:12" x14ac:dyDescent="0.25">
      <c r="B4" s="546"/>
      <c r="C4" s="546"/>
    </row>
    <row r="5" spans="2:12" ht="15.75" customHeight="1" x14ac:dyDescent="0.25">
      <c r="B5" s="546"/>
      <c r="C5" s="546"/>
      <c r="E5" s="147" t="s">
        <v>174</v>
      </c>
      <c r="F5" s="147"/>
      <c r="G5" s="147"/>
      <c r="H5" s="147"/>
      <c r="I5" s="147"/>
      <c r="J5" s="147"/>
      <c r="K5" s="147"/>
      <c r="L5" s="147"/>
    </row>
    <row r="6" spans="2:12" ht="15" customHeight="1" x14ac:dyDescent="0.25">
      <c r="B6" s="546"/>
      <c r="C6" s="546"/>
      <c r="E6" s="148"/>
    </row>
    <row r="7" spans="2:12" ht="15" customHeight="1" x14ac:dyDescent="0.25">
      <c r="B7" s="563" t="s">
        <v>47</v>
      </c>
      <c r="C7" s="563"/>
      <c r="E7" s="564" t="s">
        <v>176</v>
      </c>
      <c r="F7" s="565"/>
      <c r="G7" s="149"/>
      <c r="H7" s="564" t="s">
        <v>177</v>
      </c>
      <c r="I7" s="565"/>
      <c r="J7" s="150"/>
      <c r="K7" s="564" t="s">
        <v>178</v>
      </c>
      <c r="L7" s="565"/>
    </row>
    <row r="8" spans="2:12" x14ac:dyDescent="0.25">
      <c r="B8" s="563"/>
      <c r="C8" s="563"/>
      <c r="E8" s="566"/>
      <c r="F8" s="567"/>
      <c r="G8" s="149"/>
      <c r="H8" s="566"/>
      <c r="I8" s="567"/>
      <c r="J8" s="150"/>
      <c r="K8" s="566"/>
      <c r="L8" s="567"/>
    </row>
    <row r="9" spans="2:12" x14ac:dyDescent="0.25">
      <c r="B9" s="555" t="s">
        <v>67</v>
      </c>
      <c r="C9" s="556"/>
      <c r="E9" s="568"/>
      <c r="F9" s="569"/>
      <c r="G9" s="149"/>
      <c r="H9" s="568"/>
      <c r="I9" s="569"/>
      <c r="J9" s="150"/>
      <c r="K9" s="568"/>
      <c r="L9" s="569"/>
    </row>
    <row r="10" spans="2:12" x14ac:dyDescent="0.25">
      <c r="B10" s="173"/>
      <c r="C10" s="172" t="s">
        <v>51</v>
      </c>
    </row>
    <row r="11" spans="2:12" ht="15" customHeight="1" x14ac:dyDescent="0.25">
      <c r="B11" s="557" t="s">
        <v>52</v>
      </c>
      <c r="C11" s="159" t="s">
        <v>53</v>
      </c>
      <c r="E11" s="559" t="s">
        <v>54</v>
      </c>
      <c r="F11" s="549" t="s">
        <v>55</v>
      </c>
      <c r="G11" s="149"/>
      <c r="H11" s="559" t="s">
        <v>54</v>
      </c>
      <c r="I11" s="549" t="s">
        <v>55</v>
      </c>
      <c r="J11" s="150"/>
      <c r="K11" s="559" t="s">
        <v>54</v>
      </c>
      <c r="L11" s="549" t="s">
        <v>55</v>
      </c>
    </row>
    <row r="12" spans="2:12" x14ac:dyDescent="0.25">
      <c r="B12" s="558"/>
      <c r="C12" s="160" t="s">
        <v>56</v>
      </c>
      <c r="E12" s="560"/>
      <c r="F12" s="550"/>
      <c r="G12" s="149"/>
      <c r="H12" s="560"/>
      <c r="I12" s="550"/>
      <c r="J12" s="150"/>
      <c r="K12" s="560"/>
      <c r="L12" s="550"/>
    </row>
    <row r="13" spans="2:12" x14ac:dyDescent="0.25">
      <c r="B13" s="558"/>
      <c r="C13" s="160" t="s">
        <v>57</v>
      </c>
      <c r="E13" s="151">
        <v>1</v>
      </c>
      <c r="F13" s="152">
        <v>45055</v>
      </c>
      <c r="H13" s="151">
        <v>1</v>
      </c>
      <c r="I13" s="152">
        <v>45084</v>
      </c>
      <c r="K13" s="151">
        <v>1</v>
      </c>
      <c r="L13" s="152">
        <v>45114</v>
      </c>
    </row>
    <row r="14" spans="2:12" x14ac:dyDescent="0.25">
      <c r="B14" s="558"/>
      <c r="C14" s="160" t="s">
        <v>58</v>
      </c>
      <c r="E14" s="153">
        <v>2</v>
      </c>
      <c r="F14" s="154">
        <v>45056</v>
      </c>
      <c r="H14" s="153">
        <v>2</v>
      </c>
      <c r="I14" s="154">
        <v>45085</v>
      </c>
      <c r="K14" s="153">
        <v>2</v>
      </c>
      <c r="L14" s="154">
        <v>45117</v>
      </c>
    </row>
    <row r="15" spans="2:12" x14ac:dyDescent="0.25">
      <c r="B15" s="558"/>
      <c r="C15" s="160" t="s">
        <v>59</v>
      </c>
      <c r="E15" s="153">
        <v>3</v>
      </c>
      <c r="F15" s="154">
        <v>45057</v>
      </c>
      <c r="H15" s="153">
        <v>3</v>
      </c>
      <c r="I15" s="154">
        <v>45086</v>
      </c>
      <c r="K15" s="153">
        <v>3</v>
      </c>
      <c r="L15" s="154">
        <v>45118</v>
      </c>
    </row>
    <row r="16" spans="2:12" x14ac:dyDescent="0.25">
      <c r="B16" s="558"/>
      <c r="C16" s="160" t="s">
        <v>60</v>
      </c>
      <c r="E16" s="153">
        <v>4</v>
      </c>
      <c r="F16" s="154">
        <v>45058</v>
      </c>
      <c r="H16" s="153">
        <v>4</v>
      </c>
      <c r="I16" s="154">
        <v>45090</v>
      </c>
      <c r="K16" s="153">
        <v>4</v>
      </c>
      <c r="L16" s="154">
        <v>45119</v>
      </c>
    </row>
    <row r="17" spans="2:12" x14ac:dyDescent="0.25">
      <c r="B17" s="558"/>
      <c r="C17" s="160" t="s">
        <v>61</v>
      </c>
      <c r="E17" s="153">
        <v>5</v>
      </c>
      <c r="F17" s="154">
        <v>45061</v>
      </c>
      <c r="H17" s="153">
        <v>5</v>
      </c>
      <c r="I17" s="154">
        <v>45091</v>
      </c>
      <c r="K17" s="153">
        <v>5</v>
      </c>
      <c r="L17" s="154">
        <v>45120</v>
      </c>
    </row>
    <row r="18" spans="2:12" x14ac:dyDescent="0.25">
      <c r="B18" s="558"/>
      <c r="C18" s="160" t="s">
        <v>62</v>
      </c>
      <c r="E18" s="153">
        <v>6</v>
      </c>
      <c r="F18" s="154">
        <v>45062</v>
      </c>
      <c r="H18" s="153">
        <v>6</v>
      </c>
      <c r="I18" s="154">
        <v>45061</v>
      </c>
      <c r="K18" s="153">
        <v>6</v>
      </c>
      <c r="L18" s="154">
        <v>45121</v>
      </c>
    </row>
    <row r="19" spans="2:12" x14ac:dyDescent="0.25">
      <c r="B19" s="558"/>
      <c r="C19" s="160" t="s">
        <v>63</v>
      </c>
      <c r="E19" s="153">
        <v>7</v>
      </c>
      <c r="F19" s="154">
        <v>45063</v>
      </c>
      <c r="H19" s="153">
        <v>7</v>
      </c>
      <c r="I19" s="154">
        <v>45062</v>
      </c>
      <c r="K19" s="153">
        <v>7</v>
      </c>
      <c r="L19" s="154">
        <v>45124</v>
      </c>
    </row>
    <row r="20" spans="2:12" x14ac:dyDescent="0.25">
      <c r="B20" s="558"/>
      <c r="C20" s="160" t="s">
        <v>64</v>
      </c>
      <c r="E20" s="153">
        <v>8</v>
      </c>
      <c r="F20" s="154">
        <v>45064</v>
      </c>
      <c r="H20" s="153">
        <v>8</v>
      </c>
      <c r="I20" s="154">
        <v>45066</v>
      </c>
      <c r="K20" s="153">
        <v>8</v>
      </c>
      <c r="L20" s="154">
        <v>45125</v>
      </c>
    </row>
    <row r="21" spans="2:12" x14ac:dyDescent="0.25">
      <c r="B21" s="558"/>
      <c r="C21" s="160" t="s">
        <v>65</v>
      </c>
      <c r="E21" s="153">
        <v>9</v>
      </c>
      <c r="F21" s="154">
        <v>45065</v>
      </c>
      <c r="H21" s="153">
        <v>9</v>
      </c>
      <c r="I21" s="154">
        <v>45067</v>
      </c>
      <c r="K21" s="153">
        <v>9</v>
      </c>
      <c r="L21" s="154">
        <v>45126</v>
      </c>
    </row>
    <row r="22" spans="2:12" x14ac:dyDescent="0.25">
      <c r="B22" s="576"/>
      <c r="C22" s="161" t="s">
        <v>66</v>
      </c>
      <c r="E22" s="155">
        <v>0</v>
      </c>
      <c r="F22" s="156">
        <v>45069</v>
      </c>
      <c r="G22" s="157"/>
      <c r="H22" s="155">
        <v>0</v>
      </c>
      <c r="I22" s="156">
        <v>45068</v>
      </c>
      <c r="J22" s="158"/>
      <c r="K22" s="155">
        <v>0</v>
      </c>
      <c r="L22" s="156">
        <v>45128</v>
      </c>
    </row>
    <row r="23" spans="2:12" ht="3" customHeight="1" x14ac:dyDescent="0.25"/>
    <row r="24" spans="2:12" ht="15" customHeight="1" x14ac:dyDescent="0.25">
      <c r="B24" s="546"/>
      <c r="C24" s="546"/>
    </row>
    <row r="25" spans="2:12" ht="15" customHeight="1" x14ac:dyDescent="0.25">
      <c r="B25" s="546"/>
      <c r="C25" s="546"/>
      <c r="E25" s="564" t="s">
        <v>179</v>
      </c>
      <c r="F25" s="565"/>
      <c r="G25" s="149"/>
      <c r="H25" s="564" t="s">
        <v>180</v>
      </c>
      <c r="I25" s="565"/>
      <c r="J25" s="150"/>
      <c r="K25" s="564" t="s">
        <v>181</v>
      </c>
      <c r="L25" s="565"/>
    </row>
    <row r="26" spans="2:12" ht="15" customHeight="1" x14ac:dyDescent="0.25">
      <c r="B26" s="546"/>
      <c r="C26" s="546"/>
      <c r="E26" s="566"/>
      <c r="F26" s="567"/>
      <c r="G26" s="149"/>
      <c r="H26" s="566"/>
      <c r="I26" s="567"/>
      <c r="J26" s="150"/>
      <c r="K26" s="566"/>
      <c r="L26" s="567"/>
    </row>
    <row r="27" spans="2:12" ht="15" customHeight="1" x14ac:dyDescent="0.25">
      <c r="B27" s="546"/>
      <c r="C27" s="546"/>
      <c r="E27" s="568"/>
      <c r="F27" s="569"/>
      <c r="G27" s="149"/>
      <c r="H27" s="568"/>
      <c r="I27" s="569"/>
      <c r="J27" s="150"/>
      <c r="K27" s="568"/>
      <c r="L27" s="569"/>
    </row>
    <row r="28" spans="2:12" ht="15" customHeight="1" x14ac:dyDescent="0.25">
      <c r="B28" s="546"/>
      <c r="C28" s="546"/>
    </row>
    <row r="29" spans="2:12" ht="15" customHeight="1" x14ac:dyDescent="0.25">
      <c r="B29" s="546"/>
      <c r="C29" s="546"/>
      <c r="E29" s="559" t="s">
        <v>54</v>
      </c>
      <c r="F29" s="549" t="s">
        <v>55</v>
      </c>
      <c r="G29" s="149"/>
      <c r="H29" s="559" t="s">
        <v>54</v>
      </c>
      <c r="I29" s="549" t="s">
        <v>55</v>
      </c>
      <c r="J29" s="150"/>
      <c r="K29" s="559" t="s">
        <v>54</v>
      </c>
      <c r="L29" s="549" t="s">
        <v>55</v>
      </c>
    </row>
    <row r="30" spans="2:12" ht="15" customHeight="1" x14ac:dyDescent="0.25">
      <c r="B30" s="546"/>
      <c r="C30" s="546"/>
      <c r="E30" s="560"/>
      <c r="F30" s="550"/>
      <c r="G30" s="149"/>
      <c r="H30" s="560"/>
      <c r="I30" s="550"/>
      <c r="J30" s="150"/>
      <c r="K30" s="560"/>
      <c r="L30" s="550"/>
    </row>
    <row r="31" spans="2:12" ht="15" customHeight="1" x14ac:dyDescent="0.25">
      <c r="B31" s="546"/>
      <c r="C31" s="546"/>
      <c r="E31" s="151">
        <v>1</v>
      </c>
      <c r="F31" s="152">
        <v>45176</v>
      </c>
      <c r="H31" s="151">
        <v>1</v>
      </c>
      <c r="I31" s="152">
        <v>45238</v>
      </c>
      <c r="K31" s="151">
        <v>1</v>
      </c>
      <c r="L31" s="152">
        <v>45301</v>
      </c>
    </row>
    <row r="32" spans="2:12" ht="15" customHeight="1" x14ac:dyDescent="0.25">
      <c r="B32" s="546"/>
      <c r="C32" s="546"/>
      <c r="E32" s="153">
        <v>2</v>
      </c>
      <c r="F32" s="154">
        <v>45177</v>
      </c>
      <c r="H32" s="153">
        <v>2</v>
      </c>
      <c r="I32" s="154">
        <v>45239</v>
      </c>
      <c r="K32" s="153">
        <v>2</v>
      </c>
      <c r="L32" s="154">
        <v>45302</v>
      </c>
    </row>
    <row r="33" spans="2:12" ht="15" customHeight="1" x14ac:dyDescent="0.25">
      <c r="B33" s="546"/>
      <c r="C33" s="546"/>
      <c r="E33" s="153">
        <v>3</v>
      </c>
      <c r="F33" s="154">
        <v>45180</v>
      </c>
      <c r="H33" s="153">
        <v>3</v>
      </c>
      <c r="I33" s="154">
        <v>45240</v>
      </c>
      <c r="K33" s="153">
        <v>3</v>
      </c>
      <c r="L33" s="154">
        <v>45303</v>
      </c>
    </row>
    <row r="34" spans="2:12" ht="15" customHeight="1" x14ac:dyDescent="0.25">
      <c r="B34" s="546"/>
      <c r="C34" s="546"/>
      <c r="E34" s="153">
        <v>4</v>
      </c>
      <c r="F34" s="154">
        <v>45181</v>
      </c>
      <c r="H34" s="153">
        <v>4</v>
      </c>
      <c r="I34" s="154">
        <v>45244</v>
      </c>
      <c r="K34" s="153">
        <v>4</v>
      </c>
      <c r="L34" s="154">
        <v>45306</v>
      </c>
    </row>
    <row r="35" spans="2:12" ht="15" customHeight="1" x14ac:dyDescent="0.25">
      <c r="B35" s="546"/>
      <c r="C35" s="546"/>
      <c r="E35" s="153">
        <v>5</v>
      </c>
      <c r="F35" s="154">
        <v>45182</v>
      </c>
      <c r="H35" s="153">
        <v>5</v>
      </c>
      <c r="I35" s="154">
        <v>45245</v>
      </c>
      <c r="K35" s="153">
        <v>5</v>
      </c>
      <c r="L35" s="154">
        <v>45307</v>
      </c>
    </row>
    <row r="36" spans="2:12" ht="15" customHeight="1" x14ac:dyDescent="0.25">
      <c r="B36" s="546"/>
      <c r="C36" s="546"/>
      <c r="E36" s="153">
        <v>6</v>
      </c>
      <c r="F36" s="154">
        <v>45183</v>
      </c>
      <c r="H36" s="153">
        <v>6</v>
      </c>
      <c r="I36" s="154">
        <v>45246</v>
      </c>
      <c r="K36" s="153">
        <v>6</v>
      </c>
      <c r="L36" s="154">
        <v>45308</v>
      </c>
    </row>
    <row r="37" spans="2:12" ht="15" customHeight="1" x14ac:dyDescent="0.25">
      <c r="B37" s="546"/>
      <c r="C37" s="546"/>
      <c r="E37" s="153">
        <v>7</v>
      </c>
      <c r="F37" s="154">
        <v>45184</v>
      </c>
      <c r="H37" s="153">
        <v>7</v>
      </c>
      <c r="I37" s="154">
        <v>45247</v>
      </c>
      <c r="K37" s="153">
        <v>7</v>
      </c>
      <c r="L37" s="154">
        <v>45309</v>
      </c>
    </row>
    <row r="38" spans="2:12" ht="15" customHeight="1" x14ac:dyDescent="0.25">
      <c r="B38" s="546"/>
      <c r="C38" s="546"/>
      <c r="E38" s="153">
        <v>8</v>
      </c>
      <c r="F38" s="154">
        <v>45187</v>
      </c>
      <c r="H38" s="153">
        <v>8</v>
      </c>
      <c r="I38" s="154">
        <v>45250</v>
      </c>
      <c r="K38" s="153">
        <v>8</v>
      </c>
      <c r="L38" s="154">
        <v>45310</v>
      </c>
    </row>
    <row r="39" spans="2:12" ht="15" customHeight="1" x14ac:dyDescent="0.25">
      <c r="B39" s="546"/>
      <c r="C39" s="546"/>
      <c r="E39" s="153">
        <v>9</v>
      </c>
      <c r="F39" s="154">
        <v>45188</v>
      </c>
      <c r="H39" s="153">
        <v>9</v>
      </c>
      <c r="I39" s="154">
        <v>45251</v>
      </c>
      <c r="K39" s="153">
        <v>9</v>
      </c>
      <c r="L39" s="154">
        <v>45313</v>
      </c>
    </row>
    <row r="40" spans="2:12" ht="15" customHeight="1" x14ac:dyDescent="0.25">
      <c r="B40" s="546"/>
      <c r="C40" s="546"/>
      <c r="E40" s="155">
        <v>0</v>
      </c>
      <c r="F40" s="156">
        <v>45189</v>
      </c>
      <c r="G40" s="157"/>
      <c r="H40" s="155">
        <v>0</v>
      </c>
      <c r="I40" s="156">
        <v>45252</v>
      </c>
      <c r="J40" s="158"/>
      <c r="K40" s="155">
        <v>0</v>
      </c>
      <c r="L40" s="156">
        <v>45314</v>
      </c>
    </row>
    <row r="41" spans="2:12" ht="3" customHeight="1" x14ac:dyDescent="0.25"/>
    <row r="42" spans="2:12" ht="5.25" customHeight="1" x14ac:dyDescent="0.25"/>
  </sheetData>
  <sheetProtection algorithmName="SHA-512" hashValue="mANl/DC/yab7QNG73LuxBuFwZlM/Vqb9B/erCk6lsBCM1KDWaUHoXenj5lE00e/CILZLi4LBk9eXhmugbTSq7A==" saltValue="4vLkz4EbgYRvRMszVAg/NA==" spinCount="100000" sheet="1" objects="1" scenarios="1"/>
  <protectedRanges>
    <protectedRange algorithmName="SHA-512" hashValue="HupoBSTXUZM5zKH7dYlT7dqWQBnIhtpHzR9ipJwU6Pa0q/rB313Yiwgnls4sQow+vdPfHXA0p2v7yGHqNyoIFQ==" saltValue="hoQMnMybhK8CawJXA8d32Q==" spinCount="100000" sqref="E7:L40" name="RSTAnticipos2023"/>
  </protectedRanges>
  <mergeCells count="24">
    <mergeCell ref="H25:I27"/>
    <mergeCell ref="K25:L27"/>
    <mergeCell ref="K11:K12"/>
    <mergeCell ref="E29:E30"/>
    <mergeCell ref="F29:F30"/>
    <mergeCell ref="H29:H30"/>
    <mergeCell ref="I29:I30"/>
    <mergeCell ref="K29:K30"/>
    <mergeCell ref="B24:C40"/>
    <mergeCell ref="B2:C6"/>
    <mergeCell ref="E3:L3"/>
    <mergeCell ref="B7:C8"/>
    <mergeCell ref="E7:F9"/>
    <mergeCell ref="H7:I9"/>
    <mergeCell ref="K7:L9"/>
    <mergeCell ref="B9:C9"/>
    <mergeCell ref="B11:B22"/>
    <mergeCell ref="E11:E12"/>
    <mergeCell ref="F11:F12"/>
    <mergeCell ref="H11:H12"/>
    <mergeCell ref="I11:I12"/>
    <mergeCell ref="L29:L30"/>
    <mergeCell ref="L11:L12"/>
    <mergeCell ref="E25:F27"/>
  </mergeCells>
  <hyperlinks>
    <hyperlink ref="B11:B22" location="Anual!A1" display="Calendario" xr:uid="{4A7C4345-610F-4141-A5F4-DCC86E049BC8}"/>
    <hyperlink ref="C11" location="Enero!A1" display="Enero" xr:uid="{0D323850-B26B-4BEA-95A1-4260B88A90BB}"/>
    <hyperlink ref="C12" location="Febrero!A1" display="Febrero" xr:uid="{2E2AC5F7-4E2E-456E-9DEA-4FE58FA0B858}"/>
    <hyperlink ref="C13" location="Marzo!A1" display="Marzo" xr:uid="{30D0737A-67D5-4C70-9FBB-DBFF0290E550}"/>
    <hyperlink ref="C14" location="Abril!A1" display="Abril" xr:uid="{42C270E0-07C5-4C99-81B7-993E3EC3CFC1}"/>
    <hyperlink ref="C15" location="Mayo!A1" display="Mayo" xr:uid="{1C026786-7787-4B98-8ED4-FC1D59B64CA1}"/>
    <hyperlink ref="C16" location="Junio!A1" display="Junio" xr:uid="{5E45E670-5706-437F-B24E-EB348E6AC42F}"/>
    <hyperlink ref="C17" location="Julio!A1" display="Julio" xr:uid="{AFCC0DEA-6E46-467A-B9DE-A5B71AFD010B}"/>
    <hyperlink ref="C18" location="Agosto!A1" display="Agosto" xr:uid="{7D11F2C5-954B-410A-86D4-834C7AFD94C9}"/>
    <hyperlink ref="C19" location="Septiembre!A1" display="Septiembre" xr:uid="{2E5C3914-AAD7-4D4E-8F21-7DCBE2BB7A8A}"/>
    <hyperlink ref="C20" location="Octubre!A1" display="Octubre" xr:uid="{C85C332E-73F7-4ED1-AB9C-54C2EB215265}"/>
    <hyperlink ref="C21" location="Noviembre!A1" display="Noviembre" xr:uid="{49ED66FE-750E-465B-B993-93D10A94E45A}"/>
    <hyperlink ref="C22" location="Diciembre!A1" display="Diciembre" xr:uid="{51F78187-9716-412C-A0A7-17CC2F2084E8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5A685-2C3F-4CF5-89DE-644489D5E0E7}">
  <dimension ref="A1:J34"/>
  <sheetViews>
    <sheetView showGridLines="0" showRowColHeaders="0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style="10" customWidth="1"/>
    <col min="8" max="8" width="13.7109375" customWidth="1"/>
    <col min="9" max="9" width="20.7109375" customWidth="1"/>
    <col min="10" max="10" width="0.85546875" style="10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562" t="s">
        <v>196</v>
      </c>
      <c r="F3" s="562"/>
      <c r="G3" s="562"/>
      <c r="H3" s="562"/>
      <c r="I3" s="562"/>
      <c r="J3" s="191"/>
    </row>
    <row r="4" spans="2:10" x14ac:dyDescent="0.25">
      <c r="B4" s="546"/>
      <c r="C4" s="546"/>
    </row>
    <row r="5" spans="2:10" ht="15.75" customHeight="1" x14ac:dyDescent="0.25">
      <c r="B5" s="546"/>
      <c r="C5" s="546"/>
      <c r="E5" s="147" t="s">
        <v>199</v>
      </c>
      <c r="F5" s="147"/>
      <c r="G5" s="147"/>
      <c r="H5" s="147"/>
      <c r="I5" s="147"/>
    </row>
    <row r="6" spans="2:10" s="10" customFormat="1" ht="3" customHeight="1" x14ac:dyDescent="0.25">
      <c r="B6" s="546"/>
      <c r="C6" s="546"/>
      <c r="E6" s="187"/>
      <c r="F6" s="187"/>
      <c r="G6" s="187"/>
      <c r="H6" s="187"/>
      <c r="I6" s="187"/>
    </row>
    <row r="7" spans="2:10" ht="15.75" customHeight="1" x14ac:dyDescent="0.25">
      <c r="B7" s="546"/>
      <c r="C7" s="546"/>
      <c r="E7" s="147" t="s">
        <v>197</v>
      </c>
      <c r="F7" s="147"/>
      <c r="G7" s="147"/>
      <c r="H7" s="147"/>
      <c r="I7" s="147"/>
    </row>
    <row r="8" spans="2:10" x14ac:dyDescent="0.25">
      <c r="B8" s="546"/>
      <c r="C8" s="546"/>
    </row>
    <row r="9" spans="2:10" ht="15" customHeight="1" x14ac:dyDescent="0.25">
      <c r="B9" s="563" t="s">
        <v>47</v>
      </c>
      <c r="C9" s="563"/>
      <c r="E9" s="564" t="s">
        <v>200</v>
      </c>
      <c r="F9" s="565"/>
      <c r="G9" s="149"/>
      <c r="H9" s="182"/>
      <c r="I9" s="182"/>
      <c r="J9" s="149"/>
    </row>
    <row r="10" spans="2:10" x14ac:dyDescent="0.25">
      <c r="B10" s="563"/>
      <c r="C10" s="563"/>
      <c r="E10" s="566"/>
      <c r="F10" s="567"/>
      <c r="G10" s="149"/>
      <c r="H10" s="182"/>
      <c r="I10" s="182"/>
      <c r="J10" s="149"/>
    </row>
    <row r="11" spans="2:10" x14ac:dyDescent="0.25">
      <c r="B11" s="555" t="s">
        <v>67</v>
      </c>
      <c r="C11" s="556"/>
      <c r="E11" s="568"/>
      <c r="F11" s="569"/>
      <c r="G11" s="149"/>
      <c r="H11" s="182"/>
      <c r="I11" s="182"/>
      <c r="J11" s="149"/>
    </row>
    <row r="12" spans="2:10" ht="15.75" thickBot="1" x14ac:dyDescent="0.3">
      <c r="B12" s="173"/>
      <c r="C12" s="172" t="s">
        <v>51</v>
      </c>
    </row>
    <row r="13" spans="2:10" ht="15" customHeight="1" thickTop="1" thickBot="1" x14ac:dyDescent="0.3">
      <c r="B13" s="557" t="s">
        <v>52</v>
      </c>
      <c r="C13" s="159" t="s">
        <v>53</v>
      </c>
      <c r="E13" s="559" t="s">
        <v>54</v>
      </c>
      <c r="F13" s="549" t="s">
        <v>55</v>
      </c>
      <c r="G13" s="175"/>
      <c r="H13" s="595" t="s">
        <v>198</v>
      </c>
      <c r="I13" s="595"/>
      <c r="J13" s="149"/>
    </row>
    <row r="14" spans="2:10" ht="16.5" thickTop="1" thickBot="1" x14ac:dyDescent="0.3">
      <c r="B14" s="558"/>
      <c r="C14" s="160" t="s">
        <v>56</v>
      </c>
      <c r="E14" s="560"/>
      <c r="F14" s="550"/>
      <c r="G14" s="175"/>
      <c r="H14" s="595"/>
      <c r="I14" s="595"/>
      <c r="J14" s="149"/>
    </row>
    <row r="15" spans="2:10" ht="16.5" thickTop="1" thickBot="1" x14ac:dyDescent="0.3">
      <c r="B15" s="558"/>
      <c r="C15" s="160" t="s">
        <v>57</v>
      </c>
      <c r="E15" s="151">
        <v>1</v>
      </c>
      <c r="F15" s="178">
        <v>45176</v>
      </c>
      <c r="G15" s="176"/>
      <c r="H15" s="595"/>
      <c r="I15" s="595"/>
    </row>
    <row r="16" spans="2:10" ht="16.5" thickTop="1" thickBot="1" x14ac:dyDescent="0.3">
      <c r="B16" s="558"/>
      <c r="C16" s="160" t="s">
        <v>58</v>
      </c>
      <c r="E16" s="153">
        <v>2</v>
      </c>
      <c r="F16" s="154">
        <v>45177</v>
      </c>
      <c r="G16" s="176"/>
      <c r="H16" s="595"/>
      <c r="I16" s="595"/>
    </row>
    <row r="17" spans="2:10" ht="16.5" thickTop="1" thickBot="1" x14ac:dyDescent="0.3">
      <c r="B17" s="558"/>
      <c r="C17" s="160" t="s">
        <v>59</v>
      </c>
      <c r="E17" s="153">
        <v>3</v>
      </c>
      <c r="F17" s="154">
        <v>45180</v>
      </c>
      <c r="G17" s="176"/>
      <c r="H17" s="595"/>
      <c r="I17" s="595"/>
    </row>
    <row r="18" spans="2:10" ht="16.5" thickTop="1" thickBot="1" x14ac:dyDescent="0.3">
      <c r="B18" s="558"/>
      <c r="C18" s="160" t="s">
        <v>60</v>
      </c>
      <c r="E18" s="153">
        <v>4</v>
      </c>
      <c r="F18" s="154">
        <v>45181</v>
      </c>
      <c r="G18" s="176"/>
      <c r="H18" s="595"/>
      <c r="I18" s="595"/>
    </row>
    <row r="19" spans="2:10" ht="16.5" thickTop="1" thickBot="1" x14ac:dyDescent="0.3">
      <c r="B19" s="558"/>
      <c r="C19" s="160" t="s">
        <v>61</v>
      </c>
      <c r="E19" s="153">
        <v>5</v>
      </c>
      <c r="F19" s="154">
        <v>45182</v>
      </c>
      <c r="G19" s="176"/>
      <c r="H19" s="595"/>
      <c r="I19" s="595"/>
    </row>
    <row r="20" spans="2:10" ht="16.5" thickTop="1" thickBot="1" x14ac:dyDescent="0.3">
      <c r="B20" s="558"/>
      <c r="C20" s="160" t="s">
        <v>62</v>
      </c>
      <c r="E20" s="153">
        <v>6</v>
      </c>
      <c r="F20" s="154">
        <v>45183</v>
      </c>
      <c r="G20" s="176"/>
      <c r="H20" s="595"/>
      <c r="I20" s="595"/>
    </row>
    <row r="21" spans="2:10" ht="16.5" thickTop="1" thickBot="1" x14ac:dyDescent="0.3">
      <c r="B21" s="558"/>
      <c r="C21" s="160" t="s">
        <v>63</v>
      </c>
      <c r="E21" s="153">
        <v>7</v>
      </c>
      <c r="F21" s="154">
        <v>45184</v>
      </c>
      <c r="G21" s="176"/>
      <c r="H21" s="595"/>
      <c r="I21" s="595"/>
    </row>
    <row r="22" spans="2:10" ht="16.5" thickTop="1" thickBot="1" x14ac:dyDescent="0.3">
      <c r="B22" s="558"/>
      <c r="C22" s="160" t="s">
        <v>64</v>
      </c>
      <c r="E22" s="153">
        <v>8</v>
      </c>
      <c r="F22" s="154">
        <v>45187</v>
      </c>
      <c r="G22" s="176"/>
      <c r="H22" s="595"/>
      <c r="I22" s="595"/>
    </row>
    <row r="23" spans="2:10" ht="16.5" thickTop="1" thickBot="1" x14ac:dyDescent="0.3">
      <c r="B23" s="558"/>
      <c r="C23" s="160" t="s">
        <v>65</v>
      </c>
      <c r="E23" s="153">
        <v>9</v>
      </c>
      <c r="F23" s="154">
        <v>45188</v>
      </c>
      <c r="G23" s="176"/>
      <c r="H23" s="595"/>
      <c r="I23" s="595"/>
    </row>
    <row r="24" spans="2:10" ht="16.5" thickTop="1" thickBot="1" x14ac:dyDescent="0.3">
      <c r="B24" s="576"/>
      <c r="C24" s="161" t="s">
        <v>66</v>
      </c>
      <c r="E24" s="174">
        <v>0</v>
      </c>
      <c r="F24" s="177">
        <v>45189</v>
      </c>
      <c r="G24" s="176"/>
      <c r="H24" s="595"/>
      <c r="I24" s="595"/>
    </row>
    <row r="25" spans="2:10" ht="3" customHeight="1" thickTop="1" thickBot="1" x14ac:dyDescent="0.3"/>
    <row r="26" spans="2:10" ht="8.25" customHeight="1" thickTop="1" thickBot="1" x14ac:dyDescent="0.3">
      <c r="B26" s="605"/>
      <c r="C26" s="605"/>
      <c r="E26" s="596" t="s">
        <v>195</v>
      </c>
      <c r="F26" s="597"/>
      <c r="G26" s="597"/>
      <c r="H26" s="597"/>
      <c r="I26" s="598"/>
      <c r="J26" s="189"/>
    </row>
    <row r="27" spans="2:10" ht="15" customHeight="1" thickTop="1" thickBot="1" x14ac:dyDescent="0.3">
      <c r="B27" s="605"/>
      <c r="C27" s="605"/>
      <c r="E27" s="599"/>
      <c r="F27" s="600"/>
      <c r="G27" s="600"/>
      <c r="H27" s="600"/>
      <c r="I27" s="601"/>
      <c r="J27" s="189"/>
    </row>
    <row r="28" spans="2:10" ht="15" customHeight="1" thickTop="1" thickBot="1" x14ac:dyDescent="0.3">
      <c r="B28" s="605"/>
      <c r="C28" s="605"/>
      <c r="E28" s="599"/>
      <c r="F28" s="600"/>
      <c r="G28" s="600"/>
      <c r="H28" s="600"/>
      <c r="I28" s="601"/>
      <c r="J28" s="189"/>
    </row>
    <row r="29" spans="2:10" ht="15" customHeight="1" thickTop="1" thickBot="1" x14ac:dyDescent="0.3">
      <c r="B29" s="605"/>
      <c r="C29" s="605"/>
      <c r="E29" s="599"/>
      <c r="F29" s="600"/>
      <c r="G29" s="600"/>
      <c r="H29" s="600"/>
      <c r="I29" s="601"/>
      <c r="J29" s="189"/>
    </row>
    <row r="30" spans="2:10" ht="15" customHeight="1" thickTop="1" thickBot="1" x14ac:dyDescent="0.3">
      <c r="B30" s="605"/>
      <c r="C30" s="605"/>
      <c r="E30" s="599"/>
      <c r="F30" s="600"/>
      <c r="G30" s="600"/>
      <c r="H30" s="600"/>
      <c r="I30" s="601"/>
      <c r="J30" s="189"/>
    </row>
    <row r="31" spans="2:10" ht="15" customHeight="1" thickTop="1" thickBot="1" x14ac:dyDescent="0.3">
      <c r="B31" s="605"/>
      <c r="C31" s="605"/>
      <c r="E31" s="599"/>
      <c r="F31" s="600"/>
      <c r="G31" s="600"/>
      <c r="H31" s="600"/>
      <c r="I31" s="601"/>
      <c r="J31" s="189"/>
    </row>
    <row r="32" spans="2:10" ht="15" customHeight="1" thickTop="1" thickBot="1" x14ac:dyDescent="0.3">
      <c r="B32" s="605"/>
      <c r="C32" s="605"/>
      <c r="E32" s="599"/>
      <c r="F32" s="600"/>
      <c r="G32" s="600"/>
      <c r="H32" s="600"/>
      <c r="I32" s="601"/>
      <c r="J32" s="189"/>
    </row>
    <row r="33" spans="2:10" ht="15" customHeight="1" thickTop="1" thickBot="1" x14ac:dyDescent="0.3">
      <c r="B33" s="605"/>
      <c r="C33" s="605"/>
      <c r="E33" s="602"/>
      <c r="F33" s="603"/>
      <c r="G33" s="603"/>
      <c r="H33" s="603"/>
      <c r="I33" s="604"/>
      <c r="J33" s="190"/>
    </row>
    <row r="34" spans="2:10" ht="3.75" customHeight="1" thickTop="1" x14ac:dyDescent="0.25"/>
  </sheetData>
  <sheetProtection algorithmName="SHA-512" hashValue="1Cl40E8n6tlcTbOEF3/WZBoPm5fAGRruBCNFliXFLJABH3tvDxpp5atCDA4nTNviXvS2zVi71aOKkmWb3iz91A==" saltValue="410q3uDCyk/WB2DkNQRLvw==" spinCount="100000" sheet="1" objects="1" scenarios="1"/>
  <protectedRanges>
    <protectedRange algorithmName="SHA-512" hashValue="2n8TzXEztVsi7RZpYRDxnyycVo8ZpojYdkwuUVUaLXd8a/ylZEkHDsK8xgrQ0MtMHgAIlR5MGS/0AnbH/ETl1Q==" saltValue="pGkPY7dNsm8brP5TfjrpSw==" spinCount="100000" sqref="E9:F24" name="PTDeclaradocumento"/>
  </protectedRanges>
  <mergeCells count="11">
    <mergeCell ref="B2:C8"/>
    <mergeCell ref="B9:C10"/>
    <mergeCell ref="E9:F11"/>
    <mergeCell ref="B11:C11"/>
    <mergeCell ref="E3:I3"/>
    <mergeCell ref="B13:B24"/>
    <mergeCell ref="E13:E14"/>
    <mergeCell ref="F13:F14"/>
    <mergeCell ref="H13:I24"/>
    <mergeCell ref="E26:I33"/>
    <mergeCell ref="B26:C33"/>
  </mergeCells>
  <hyperlinks>
    <hyperlink ref="B13:B24" location="Anual!A1" display="Calendario" xr:uid="{DA9D6CBD-9D25-43E3-9AA9-9C2451EA0096}"/>
    <hyperlink ref="C13" location="Enero!A1" display="Enero" xr:uid="{7D027232-5F5C-4DDD-947E-449A5A725FAF}"/>
    <hyperlink ref="C14" location="Febrero!A1" display="Febrero" xr:uid="{26DBA047-5AA4-4622-A100-5E6D7E4AD02D}"/>
    <hyperlink ref="C15" location="Marzo!A1" display="Marzo" xr:uid="{8A76578C-CDAA-4C20-B854-41C612A0136B}"/>
    <hyperlink ref="C16" location="Abril!A1" display="Abril" xr:uid="{7E082ADF-4B4A-423B-A8C6-3FCF50396FD5}"/>
    <hyperlink ref="C17" location="Mayo!A1" display="Mayo" xr:uid="{EEBA0A54-BE15-4ACD-AEC9-1B23E4044541}"/>
    <hyperlink ref="C18" location="Junio!A1" display="Junio" xr:uid="{DD6EEA3C-E135-460D-AD50-26843F018E82}"/>
    <hyperlink ref="C19" location="Julio!A1" display="Julio" xr:uid="{4A92E0C8-C454-4956-94BB-B9AA2401C3B0}"/>
    <hyperlink ref="C20" location="Agosto!A1" display="Agosto" xr:uid="{5B0D3A2C-C39F-4576-9D4B-A8C285A47751}"/>
    <hyperlink ref="C21" location="Septiembre!A1" display="Septiembre" xr:uid="{4ABE5ADC-9BE8-469E-89F5-03898B914198}"/>
    <hyperlink ref="C22" location="Octubre!A1" display="Octubre" xr:uid="{121A7AB3-AF99-401F-9F30-C672A8ABB289}"/>
    <hyperlink ref="C23" location="Noviembre!A1" display="Noviembre" xr:uid="{26560259-5050-40A8-8E05-1C4DA7AA902E}"/>
    <hyperlink ref="C24" location="Diciembre!A1" display="Diciembre" xr:uid="{F2F8B947-916B-4D55-984E-CD0EC16C8639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1A650-C388-4DDC-8E2F-57CB4CA54EBC}">
  <dimension ref="A1:J24"/>
  <sheetViews>
    <sheetView showGridLines="0" showRowColHeaders="0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style="10" customWidth="1"/>
    <col min="8" max="8" width="13.7109375" customWidth="1"/>
    <col min="9" max="9" width="20.7109375" customWidth="1"/>
    <col min="10" max="10" width="0.85546875" style="10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188" t="s">
        <v>196</v>
      </c>
      <c r="F3" s="188"/>
      <c r="G3" s="188"/>
      <c r="H3" s="188"/>
      <c r="I3" s="188"/>
      <c r="J3" s="191"/>
    </row>
    <row r="4" spans="2:10" x14ac:dyDescent="0.25">
      <c r="B4" s="546"/>
      <c r="C4" s="546"/>
    </row>
    <row r="5" spans="2:10" ht="15.75" customHeight="1" x14ac:dyDescent="0.25">
      <c r="B5" s="546"/>
      <c r="C5" s="546"/>
      <c r="E5" s="147" t="s">
        <v>201</v>
      </c>
      <c r="F5" s="147"/>
      <c r="G5" s="147"/>
      <c r="H5" s="147"/>
      <c r="I5" s="147"/>
      <c r="J5" s="187"/>
    </row>
    <row r="6" spans="2:10" x14ac:dyDescent="0.25">
      <c r="B6" s="546"/>
      <c r="C6" s="546"/>
    </row>
    <row r="7" spans="2:10" ht="15" customHeight="1" x14ac:dyDescent="0.25">
      <c r="B7" s="563" t="s">
        <v>47</v>
      </c>
      <c r="C7" s="563"/>
      <c r="E7" s="564" t="s">
        <v>202</v>
      </c>
      <c r="F7" s="565"/>
      <c r="G7" s="149"/>
      <c r="H7" s="182"/>
      <c r="I7" s="182"/>
      <c r="J7" s="149"/>
    </row>
    <row r="8" spans="2:10" x14ac:dyDescent="0.25">
      <c r="B8" s="563"/>
      <c r="C8" s="563"/>
      <c r="E8" s="566"/>
      <c r="F8" s="567"/>
      <c r="G8" s="149"/>
      <c r="H8" s="182"/>
      <c r="I8" s="182"/>
      <c r="J8" s="149"/>
    </row>
    <row r="9" spans="2:10" x14ac:dyDescent="0.25">
      <c r="B9" s="555" t="s">
        <v>67</v>
      </c>
      <c r="C9" s="556"/>
      <c r="E9" s="568"/>
      <c r="F9" s="569"/>
      <c r="G9" s="149"/>
      <c r="H9" s="182"/>
      <c r="I9" s="182"/>
      <c r="J9" s="149"/>
    </row>
    <row r="10" spans="2:10" ht="15.75" thickBot="1" x14ac:dyDescent="0.3">
      <c r="B10" s="173"/>
      <c r="C10" s="172" t="s">
        <v>51</v>
      </c>
    </row>
    <row r="11" spans="2:10" ht="15" customHeight="1" thickTop="1" thickBot="1" x14ac:dyDescent="0.3">
      <c r="B11" s="557" t="s">
        <v>52</v>
      </c>
      <c r="C11" s="159" t="s">
        <v>53</v>
      </c>
      <c r="E11" s="559" t="s">
        <v>54</v>
      </c>
      <c r="F11" s="549" t="s">
        <v>55</v>
      </c>
      <c r="G11" s="175"/>
      <c r="H11" s="595" t="s">
        <v>203</v>
      </c>
      <c r="I11" s="595"/>
      <c r="J11" s="149"/>
    </row>
    <row r="12" spans="2:10" ht="16.5" thickTop="1" thickBot="1" x14ac:dyDescent="0.3">
      <c r="B12" s="558"/>
      <c r="C12" s="160" t="s">
        <v>56</v>
      </c>
      <c r="E12" s="560"/>
      <c r="F12" s="550"/>
      <c r="G12" s="175"/>
      <c r="H12" s="595"/>
      <c r="I12" s="595"/>
      <c r="J12" s="149"/>
    </row>
    <row r="13" spans="2:10" ht="16.5" thickTop="1" thickBot="1" x14ac:dyDescent="0.3">
      <c r="B13" s="558"/>
      <c r="C13" s="160" t="s">
        <v>57</v>
      </c>
      <c r="E13" s="151">
        <v>1</v>
      </c>
      <c r="F13" s="178">
        <v>45271</v>
      </c>
      <c r="G13" s="176"/>
      <c r="H13" s="595"/>
      <c r="I13" s="595"/>
    </row>
    <row r="14" spans="2:10" ht="16.5" thickTop="1" thickBot="1" x14ac:dyDescent="0.3">
      <c r="B14" s="558"/>
      <c r="C14" s="160" t="s">
        <v>58</v>
      </c>
      <c r="E14" s="153">
        <v>2</v>
      </c>
      <c r="F14" s="154">
        <v>45272</v>
      </c>
      <c r="G14" s="176"/>
      <c r="H14" s="595"/>
      <c r="I14" s="595"/>
    </row>
    <row r="15" spans="2:10" ht="16.5" thickTop="1" thickBot="1" x14ac:dyDescent="0.3">
      <c r="B15" s="558"/>
      <c r="C15" s="160" t="s">
        <v>59</v>
      </c>
      <c r="E15" s="153">
        <v>3</v>
      </c>
      <c r="F15" s="154">
        <v>45273</v>
      </c>
      <c r="G15" s="176"/>
      <c r="H15" s="595"/>
      <c r="I15" s="595"/>
    </row>
    <row r="16" spans="2:10" ht="16.5" thickTop="1" thickBot="1" x14ac:dyDescent="0.3">
      <c r="B16" s="558"/>
      <c r="C16" s="160" t="s">
        <v>60</v>
      </c>
      <c r="E16" s="153">
        <v>4</v>
      </c>
      <c r="F16" s="154">
        <v>45274</v>
      </c>
      <c r="G16" s="176"/>
      <c r="H16" s="595"/>
      <c r="I16" s="595"/>
    </row>
    <row r="17" spans="2:9" ht="16.5" thickTop="1" thickBot="1" x14ac:dyDescent="0.3">
      <c r="B17" s="558"/>
      <c r="C17" s="160" t="s">
        <v>61</v>
      </c>
      <c r="E17" s="153">
        <v>5</v>
      </c>
      <c r="F17" s="154">
        <v>45275</v>
      </c>
      <c r="G17" s="176"/>
      <c r="H17" s="595"/>
      <c r="I17" s="595"/>
    </row>
    <row r="18" spans="2:9" ht="16.5" thickTop="1" thickBot="1" x14ac:dyDescent="0.3">
      <c r="B18" s="558"/>
      <c r="C18" s="160" t="s">
        <v>62</v>
      </c>
      <c r="E18" s="153">
        <v>6</v>
      </c>
      <c r="F18" s="154">
        <v>45278</v>
      </c>
      <c r="G18" s="176"/>
      <c r="H18" s="595"/>
      <c r="I18" s="595"/>
    </row>
    <row r="19" spans="2:9" ht="16.5" thickTop="1" thickBot="1" x14ac:dyDescent="0.3">
      <c r="B19" s="558"/>
      <c r="C19" s="160" t="s">
        <v>63</v>
      </c>
      <c r="E19" s="153">
        <v>7</v>
      </c>
      <c r="F19" s="154">
        <v>45279</v>
      </c>
      <c r="G19" s="176"/>
      <c r="H19" s="595"/>
      <c r="I19" s="595"/>
    </row>
    <row r="20" spans="2:9" ht="16.5" thickTop="1" thickBot="1" x14ac:dyDescent="0.3">
      <c r="B20" s="558"/>
      <c r="C20" s="160" t="s">
        <v>64</v>
      </c>
      <c r="E20" s="153">
        <v>8</v>
      </c>
      <c r="F20" s="154">
        <v>45280</v>
      </c>
      <c r="G20" s="176"/>
      <c r="H20" s="595"/>
      <c r="I20" s="595"/>
    </row>
    <row r="21" spans="2:9" ht="16.5" thickTop="1" thickBot="1" x14ac:dyDescent="0.3">
      <c r="B21" s="558"/>
      <c r="C21" s="160" t="s">
        <v>65</v>
      </c>
      <c r="E21" s="153">
        <v>9</v>
      </c>
      <c r="F21" s="154">
        <v>45281</v>
      </c>
      <c r="G21" s="176"/>
      <c r="H21" s="595"/>
      <c r="I21" s="595"/>
    </row>
    <row r="22" spans="2:9" ht="16.5" thickTop="1" thickBot="1" x14ac:dyDescent="0.3">
      <c r="B22" s="576"/>
      <c r="C22" s="161" t="s">
        <v>66</v>
      </c>
      <c r="E22" s="174">
        <v>0</v>
      </c>
      <c r="F22" s="177">
        <v>45282</v>
      </c>
      <c r="G22" s="176"/>
      <c r="H22" s="595"/>
      <c r="I22" s="595"/>
    </row>
    <row r="23" spans="2:9" ht="3" customHeight="1" thickTop="1" x14ac:dyDescent="0.25"/>
    <row r="24" spans="2:9" ht="5.25" customHeight="1" x14ac:dyDescent="0.25"/>
  </sheetData>
  <sheetProtection algorithmName="SHA-512" hashValue="SVMDnkUVNGw6Un58bB+j3dzLANc1pLciKforV0d++T4k6UInOc7O4hasq8w+jCnufKEzySnOHI0I5QdnbNEM7g==" saltValue="88N/QW25g76bzd1K4GWfkg==" spinCount="100000" sheet="1" objects="1" scenarios="1"/>
  <protectedRanges>
    <protectedRange algorithmName="SHA-512" hashValue="GhtbZ1/6kMsItIn52t7fRUfOxKm/RjpGCaahwNrUMzjMD0g2OeFvfyIGcfwShXrB3K04p5cS1v4IrJTmaTlU6g==" saltValue="++S8CBrS7DO7EwPCzeKM9g==" spinCount="100000" sqref="E11:F22" name="PTInformeMaestri"/>
  </protectedRanges>
  <mergeCells count="8">
    <mergeCell ref="H11:I22"/>
    <mergeCell ref="B2:C6"/>
    <mergeCell ref="B7:C8"/>
    <mergeCell ref="E7:F9"/>
    <mergeCell ref="B9:C9"/>
    <mergeCell ref="B11:B22"/>
    <mergeCell ref="E11:E12"/>
    <mergeCell ref="F11:F12"/>
  </mergeCells>
  <hyperlinks>
    <hyperlink ref="B11:B22" location="Anual!A1" display="Calendario" xr:uid="{21DDB7A6-EA94-4B32-AF91-60EDFF4DAFD9}"/>
    <hyperlink ref="C11" location="Enero!A1" display="Enero" xr:uid="{8F155D48-D564-45D2-B655-2E8378688BEA}"/>
    <hyperlink ref="C12" location="Febrero!A1" display="Febrero" xr:uid="{8493C2DE-E241-420F-A2C8-18005FDA486F}"/>
    <hyperlink ref="C13" location="Marzo!A1" display="Marzo" xr:uid="{CE4A1594-6762-462B-AA7F-F6C94145E942}"/>
    <hyperlink ref="C14" location="Abril!A1" display="Abril" xr:uid="{0A1B12CF-E2D1-40CA-B476-F456FC737389}"/>
    <hyperlink ref="C15" location="Mayo!A1" display="Mayo" xr:uid="{25B19608-A01B-4FBF-BA52-A9B22064DA50}"/>
    <hyperlink ref="C16" location="Junio!A1" display="Junio" xr:uid="{68C930F3-C46D-4C91-B2C5-60D01450995B}"/>
    <hyperlink ref="C17" location="Julio!A1" display="Julio" xr:uid="{B16D2F45-642A-43C4-8B8A-78AE0F79D553}"/>
    <hyperlink ref="C18" location="Agosto!A1" display="Agosto" xr:uid="{EDE6FCE3-14E6-42F6-8F3E-B1F94AA5C2B5}"/>
    <hyperlink ref="C19" location="Septiembre!A1" display="Septiembre" xr:uid="{DBCDD0D3-FF44-4F4B-A7E5-626B8BF05CE7}"/>
    <hyperlink ref="C20" location="Octubre!A1" display="Octubre" xr:uid="{CA4327BB-2664-49C1-93B1-98E48073D5BB}"/>
    <hyperlink ref="C21" location="Noviembre!A1" display="Noviembre" xr:uid="{F43CDCD4-0756-4DFF-B9AA-F1C6E40221C5}"/>
    <hyperlink ref="C22" location="Diciembre!A1" display="Diciembre" xr:uid="{CD948BC1-A950-4094-8691-224F2E8695A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97AA3-04E7-4F45-AB0E-CE6F6E916256}">
  <dimension ref="A1:J24"/>
  <sheetViews>
    <sheetView showGridLines="0" showRowColHeaders="0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8.42578125" customWidth="1"/>
    <col min="6" max="6" width="22.5703125" bestFit="1" customWidth="1"/>
    <col min="7" max="7" width="0.85546875" style="10" customWidth="1"/>
    <col min="8" max="8" width="13.7109375" customWidth="1"/>
    <col min="9" max="9" width="20.7109375" customWidth="1"/>
    <col min="10" max="10" width="0.85546875" style="10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188" t="s">
        <v>196</v>
      </c>
      <c r="F3" s="188"/>
      <c r="G3" s="188"/>
      <c r="H3" s="188"/>
      <c r="I3" s="188"/>
      <c r="J3" s="191"/>
    </row>
    <row r="4" spans="2:10" x14ac:dyDescent="0.25">
      <c r="B4" s="546"/>
      <c r="C4" s="546"/>
    </row>
    <row r="5" spans="2:10" ht="15.75" customHeight="1" x14ac:dyDescent="0.25">
      <c r="B5" s="546"/>
      <c r="C5" s="546"/>
      <c r="E5" s="147" t="s">
        <v>204</v>
      </c>
      <c r="F5" s="147"/>
      <c r="G5" s="147"/>
      <c r="H5" s="147"/>
      <c r="I5" s="147"/>
      <c r="J5" s="187"/>
    </row>
    <row r="6" spans="2:10" ht="15" customHeight="1" x14ac:dyDescent="0.25">
      <c r="B6" s="546"/>
      <c r="C6" s="546"/>
      <c r="E6" s="148"/>
    </row>
    <row r="7" spans="2:10" ht="15" customHeight="1" x14ac:dyDescent="0.25">
      <c r="B7" s="563" t="s">
        <v>47</v>
      </c>
      <c r="C7" s="563"/>
      <c r="E7" s="564" t="s">
        <v>205</v>
      </c>
      <c r="F7" s="565"/>
      <c r="G7" s="149"/>
      <c r="H7" s="182"/>
      <c r="I7" s="182"/>
      <c r="J7" s="149"/>
    </row>
    <row r="8" spans="2:10" x14ac:dyDescent="0.25">
      <c r="B8" s="563"/>
      <c r="C8" s="563"/>
      <c r="E8" s="566"/>
      <c r="F8" s="567"/>
      <c r="G8" s="149"/>
      <c r="H8" s="182"/>
      <c r="I8" s="182"/>
      <c r="J8" s="149"/>
    </row>
    <row r="9" spans="2:10" x14ac:dyDescent="0.25">
      <c r="B9" s="555" t="s">
        <v>67</v>
      </c>
      <c r="C9" s="556"/>
      <c r="E9" s="568"/>
      <c r="F9" s="569"/>
      <c r="G9" s="149"/>
      <c r="H9" s="182"/>
      <c r="I9" s="182"/>
      <c r="J9" s="149"/>
    </row>
    <row r="10" spans="2:10" ht="15.75" thickBot="1" x14ac:dyDescent="0.3">
      <c r="B10" s="173"/>
      <c r="C10" s="172" t="s">
        <v>51</v>
      </c>
    </row>
    <row r="11" spans="2:10" ht="15" customHeight="1" thickTop="1" thickBot="1" x14ac:dyDescent="0.3">
      <c r="B11" s="557" t="s">
        <v>52</v>
      </c>
      <c r="C11" s="159" t="s">
        <v>53</v>
      </c>
      <c r="E11" s="559" t="s">
        <v>166</v>
      </c>
      <c r="F11" s="549" t="s">
        <v>55</v>
      </c>
      <c r="G11" s="175"/>
      <c r="H11" s="606" t="s">
        <v>206</v>
      </c>
      <c r="I11" s="606"/>
      <c r="J11" s="149"/>
    </row>
    <row r="12" spans="2:10" ht="15" customHeight="1" thickTop="1" thickBot="1" x14ac:dyDescent="0.3">
      <c r="B12" s="558"/>
      <c r="C12" s="160" t="s">
        <v>56</v>
      </c>
      <c r="E12" s="560"/>
      <c r="F12" s="550"/>
      <c r="G12" s="175"/>
      <c r="H12" s="606"/>
      <c r="I12" s="606"/>
      <c r="J12" s="149"/>
    </row>
    <row r="13" spans="2:10" ht="16.5" thickTop="1" thickBot="1" x14ac:dyDescent="0.3">
      <c r="B13" s="558"/>
      <c r="C13" s="160" t="s">
        <v>57</v>
      </c>
      <c r="E13" s="179" t="s">
        <v>167</v>
      </c>
      <c r="F13" s="178">
        <v>45271</v>
      </c>
      <c r="G13" s="176"/>
      <c r="H13" s="606"/>
      <c r="I13" s="606"/>
    </row>
    <row r="14" spans="2:10" ht="16.5" thickTop="1" thickBot="1" x14ac:dyDescent="0.3">
      <c r="B14" s="558"/>
      <c r="C14" s="160" t="s">
        <v>58</v>
      </c>
      <c r="E14" s="180" t="s">
        <v>168</v>
      </c>
      <c r="F14" s="154">
        <v>45272</v>
      </c>
      <c r="G14" s="176"/>
      <c r="H14" s="606"/>
      <c r="I14" s="606"/>
    </row>
    <row r="15" spans="2:10" ht="16.5" thickTop="1" thickBot="1" x14ac:dyDescent="0.3">
      <c r="B15" s="558"/>
      <c r="C15" s="160" t="s">
        <v>59</v>
      </c>
      <c r="E15" s="180" t="s">
        <v>169</v>
      </c>
      <c r="F15" s="154">
        <v>45273</v>
      </c>
      <c r="G15" s="176"/>
      <c r="H15" s="606"/>
      <c r="I15" s="606"/>
    </row>
    <row r="16" spans="2:10" ht="16.5" thickTop="1" thickBot="1" x14ac:dyDescent="0.3">
      <c r="B16" s="558"/>
      <c r="C16" s="160" t="s">
        <v>60</v>
      </c>
      <c r="E16" s="180" t="s">
        <v>170</v>
      </c>
      <c r="F16" s="163">
        <v>45274</v>
      </c>
      <c r="G16" s="176"/>
      <c r="H16" s="606"/>
      <c r="I16" s="606"/>
    </row>
    <row r="17" spans="2:9" ht="16.5" thickTop="1" thickBot="1" x14ac:dyDescent="0.3">
      <c r="B17" s="558"/>
      <c r="C17" s="160" t="s">
        <v>61</v>
      </c>
      <c r="E17" s="181" t="s">
        <v>171</v>
      </c>
      <c r="F17" s="166">
        <v>45275</v>
      </c>
      <c r="G17" s="176"/>
      <c r="H17" s="606"/>
      <c r="I17" s="606"/>
    </row>
    <row r="18" spans="2:9" ht="16.5" thickTop="1" thickBot="1" x14ac:dyDescent="0.3">
      <c r="B18" s="558"/>
      <c r="C18" s="160" t="s">
        <v>62</v>
      </c>
      <c r="E18" s="607"/>
      <c r="F18" s="607"/>
      <c r="H18" s="606"/>
      <c r="I18" s="606"/>
    </row>
    <row r="19" spans="2:9" ht="16.5" thickTop="1" thickBot="1" x14ac:dyDescent="0.3">
      <c r="B19" s="558"/>
      <c r="C19" s="160" t="s">
        <v>63</v>
      </c>
      <c r="E19" s="607"/>
      <c r="F19" s="607"/>
      <c r="H19" s="606"/>
      <c r="I19" s="606"/>
    </row>
    <row r="20" spans="2:9" ht="16.5" thickTop="1" thickBot="1" x14ac:dyDescent="0.3">
      <c r="B20" s="558"/>
      <c r="C20" s="160" t="s">
        <v>64</v>
      </c>
      <c r="E20" s="607"/>
      <c r="F20" s="607"/>
      <c r="H20" s="606"/>
      <c r="I20" s="606"/>
    </row>
    <row r="21" spans="2:9" ht="16.5" thickTop="1" thickBot="1" x14ac:dyDescent="0.3">
      <c r="B21" s="558"/>
      <c r="C21" s="160" t="s">
        <v>65</v>
      </c>
      <c r="E21" s="607"/>
      <c r="F21" s="607"/>
      <c r="H21" s="606"/>
      <c r="I21" s="606"/>
    </row>
    <row r="22" spans="2:9" ht="16.5" thickTop="1" thickBot="1" x14ac:dyDescent="0.3">
      <c r="B22" s="576"/>
      <c r="C22" s="161" t="s">
        <v>66</v>
      </c>
      <c r="E22" s="607"/>
      <c r="F22" s="607"/>
      <c r="H22" s="606"/>
      <c r="I22" s="606"/>
    </row>
    <row r="23" spans="2:9" ht="3" customHeight="1" thickTop="1" x14ac:dyDescent="0.25"/>
    <row r="24" spans="2:9" ht="3.75" customHeight="1" x14ac:dyDescent="0.25"/>
  </sheetData>
  <sheetProtection algorithmName="SHA-512" hashValue="69SBgiA4n2Njgjal02tLC7tdZTV+fu+4MgVFJTA6RoO9HCPWa8pN2dFlYyvB8dj7i4JkaQS0FLoIChkEvZFY9Q==" saltValue="QXCyYZ0w5nqwjyS/oqwTMw==" spinCount="100000" sheet="1" objects="1" scenarios="1"/>
  <protectedRanges>
    <protectedRange algorithmName="SHA-512" hashValue="Fly0dYzzkEEu6thq95UoXOamFuFMGn1Gz27biX30iLj+TfOkIOm9owJ7rxcIchIB1OIDVCfyZz8iDnTvDxgAXQ==" saltValue="GKSaaxecc9mSmKIzwVCAHA==" spinCount="100000" sqref="E11:F17" name="PTpaisporpais"/>
  </protectedRanges>
  <mergeCells count="9">
    <mergeCell ref="H11:I22"/>
    <mergeCell ref="B2:C6"/>
    <mergeCell ref="B7:C8"/>
    <mergeCell ref="E7:F9"/>
    <mergeCell ref="B9:C9"/>
    <mergeCell ref="B11:B22"/>
    <mergeCell ref="E11:E12"/>
    <mergeCell ref="F11:F12"/>
    <mergeCell ref="E18:F22"/>
  </mergeCells>
  <hyperlinks>
    <hyperlink ref="B11:B22" location="Anual!A1" display="Calendario" xr:uid="{68253F3D-98B1-4F6B-BCF4-B3964D7E8D42}"/>
    <hyperlink ref="C11" location="Enero!A1" display="Enero" xr:uid="{3DBC9B01-97FF-46EC-8FB3-1BEFC21DAE16}"/>
    <hyperlink ref="C12" location="Febrero!A1" display="Febrero" xr:uid="{AA461B12-6076-47FC-8856-D1241691ADC3}"/>
    <hyperlink ref="C13" location="Marzo!A1" display="Marzo" xr:uid="{7B90F50E-5984-4BA9-A13D-BE1DAEFEBBCC}"/>
    <hyperlink ref="C14" location="Abril!A1" display="Abril" xr:uid="{86D3BABD-CF35-4763-919F-7081FC9FC457}"/>
    <hyperlink ref="C15" location="Mayo!A1" display="Mayo" xr:uid="{B01A5939-BA06-4796-97D1-EAC5F2A01648}"/>
    <hyperlink ref="C16" location="Junio!A1" display="Junio" xr:uid="{A1F95E96-1FA0-4337-BBAF-0F6075E186B3}"/>
    <hyperlink ref="C17" location="Julio!A1" display="Julio" xr:uid="{F6643A0E-43DA-46EF-AFD6-21955A9FAB42}"/>
    <hyperlink ref="C18" location="Agosto!A1" display="Agosto" xr:uid="{7613BB72-5249-44C9-BD2B-6B2E35D6CD2B}"/>
    <hyperlink ref="C19" location="Septiembre!A1" display="Septiembre" xr:uid="{305A98C7-1778-47E8-97DF-06DF6E158A18}"/>
    <hyperlink ref="C20" location="Octubre!A1" display="Octubre" xr:uid="{DB85CCD5-AEC5-4466-8D34-091445F79BD0}"/>
    <hyperlink ref="C21" location="Noviembre!A1" display="Noviembre" xr:uid="{E65EDE6F-EAD3-477D-B209-DC34EABB3624}"/>
    <hyperlink ref="C22" location="Diciembre!A1" display="Diciembre" xr:uid="{B9D6C037-9D82-4131-B835-7166EF4495BC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87273-9D0F-4A75-99AD-BA3D1548BD1C}">
  <dimension ref="A1:M42"/>
  <sheetViews>
    <sheetView showGridLines="0" showRowColHeaders="0" workbookViewId="0">
      <selection activeCell="C27" sqref="C27"/>
    </sheetView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style="10" customWidth="1"/>
    <col min="8" max="8" width="13.7109375" customWidth="1"/>
    <col min="9" max="9" width="23.85546875" bestFit="1" customWidth="1"/>
    <col min="10" max="10" width="0.85546875" customWidth="1"/>
    <col min="11" max="11" width="13.7109375" customWidth="1"/>
    <col min="12" max="12" width="20.7109375" customWidth="1"/>
    <col min="13" max="13" width="0.85546875" customWidth="1"/>
    <col min="14" max="16384" width="11.42578125" hidden="1"/>
  </cols>
  <sheetData>
    <row r="1" spans="2:12" ht="28.5" customHeight="1" x14ac:dyDescent="0.25"/>
    <row r="2" spans="2:12" ht="15" customHeight="1" x14ac:dyDescent="0.25">
      <c r="B2" s="546"/>
      <c r="C2" s="546"/>
    </row>
    <row r="3" spans="2:12" ht="15.75" x14ac:dyDescent="0.25">
      <c r="B3" s="546"/>
      <c r="C3" s="546"/>
      <c r="E3" s="562" t="s">
        <v>207</v>
      </c>
      <c r="F3" s="562"/>
      <c r="G3" s="562"/>
      <c r="H3" s="562"/>
      <c r="I3" s="562"/>
      <c r="J3" s="562"/>
      <c r="K3" s="562"/>
      <c r="L3" s="562"/>
    </row>
    <row r="4" spans="2:12" x14ac:dyDescent="0.25">
      <c r="B4" s="546"/>
      <c r="C4" s="546"/>
    </row>
    <row r="5" spans="2:12" ht="15.75" customHeight="1" x14ac:dyDescent="0.25">
      <c r="B5" s="546"/>
      <c r="C5" s="546"/>
      <c r="E5" s="147" t="s">
        <v>208</v>
      </c>
      <c r="F5" s="147"/>
      <c r="G5" s="147"/>
      <c r="H5" s="147"/>
      <c r="I5" s="147"/>
      <c r="J5" s="147"/>
      <c r="K5" s="147"/>
      <c r="L5" s="147"/>
    </row>
    <row r="6" spans="2:12" x14ac:dyDescent="0.25">
      <c r="B6" s="546"/>
      <c r="C6" s="546"/>
    </row>
    <row r="7" spans="2:12" ht="15" customHeight="1" x14ac:dyDescent="0.25">
      <c r="B7" s="563" t="s">
        <v>47</v>
      </c>
      <c r="C7" s="563"/>
      <c r="E7" s="564" t="s">
        <v>209</v>
      </c>
      <c r="F7" s="565"/>
      <c r="G7" s="149"/>
      <c r="H7" s="564" t="s">
        <v>210</v>
      </c>
      <c r="I7" s="565"/>
      <c r="J7" s="150"/>
      <c r="K7" s="564" t="s">
        <v>211</v>
      </c>
      <c r="L7" s="565"/>
    </row>
    <row r="8" spans="2:12" x14ac:dyDescent="0.25">
      <c r="B8" s="563"/>
      <c r="C8" s="563"/>
      <c r="E8" s="566"/>
      <c r="F8" s="567"/>
      <c r="G8" s="149"/>
      <c r="H8" s="566"/>
      <c r="I8" s="567"/>
      <c r="J8" s="150"/>
      <c r="K8" s="566"/>
      <c r="L8" s="567"/>
    </row>
    <row r="9" spans="2:12" x14ac:dyDescent="0.25">
      <c r="B9" s="555" t="s">
        <v>67</v>
      </c>
      <c r="C9" s="556"/>
      <c r="E9" s="568"/>
      <c r="F9" s="569"/>
      <c r="G9" s="149"/>
      <c r="H9" s="568"/>
      <c r="I9" s="569"/>
      <c r="J9" s="150"/>
      <c r="K9" s="568"/>
      <c r="L9" s="569"/>
    </row>
    <row r="10" spans="2:12" x14ac:dyDescent="0.25">
      <c r="B10" s="173"/>
      <c r="C10" s="172" t="s">
        <v>51</v>
      </c>
    </row>
    <row r="11" spans="2:12" ht="15" customHeight="1" x14ac:dyDescent="0.25">
      <c r="B11" s="557" t="s">
        <v>52</v>
      </c>
      <c r="C11" s="159" t="s">
        <v>53</v>
      </c>
      <c r="E11" s="559" t="s">
        <v>54</v>
      </c>
      <c r="F11" s="549" t="s">
        <v>55</v>
      </c>
      <c r="G11" s="149"/>
      <c r="H11" s="559" t="s">
        <v>54</v>
      </c>
      <c r="I11" s="549" t="s">
        <v>55</v>
      </c>
      <c r="J11" s="150"/>
      <c r="K11" s="559" t="s">
        <v>54</v>
      </c>
      <c r="L11" s="549" t="s">
        <v>55</v>
      </c>
    </row>
    <row r="12" spans="2:12" x14ac:dyDescent="0.25">
      <c r="B12" s="558"/>
      <c r="C12" s="160" t="s">
        <v>56</v>
      </c>
      <c r="E12" s="560"/>
      <c r="F12" s="550"/>
      <c r="G12" s="149"/>
      <c r="H12" s="560"/>
      <c r="I12" s="550"/>
      <c r="J12" s="150"/>
      <c r="K12" s="560"/>
      <c r="L12" s="550"/>
    </row>
    <row r="13" spans="2:12" x14ac:dyDescent="0.25">
      <c r="B13" s="558"/>
      <c r="C13" s="160" t="s">
        <v>57</v>
      </c>
      <c r="E13" s="151">
        <v>1</v>
      </c>
      <c r="F13" s="152">
        <v>45055</v>
      </c>
      <c r="H13" s="151">
        <v>1</v>
      </c>
      <c r="I13" s="152">
        <v>45176</v>
      </c>
      <c r="K13" s="151">
        <v>1</v>
      </c>
      <c r="L13" s="152">
        <v>45301</v>
      </c>
    </row>
    <row r="14" spans="2:12" x14ac:dyDescent="0.25">
      <c r="B14" s="558"/>
      <c r="C14" s="160" t="s">
        <v>58</v>
      </c>
      <c r="E14" s="153">
        <v>2</v>
      </c>
      <c r="F14" s="154">
        <v>45056</v>
      </c>
      <c r="H14" s="153">
        <v>2</v>
      </c>
      <c r="I14" s="154">
        <v>45177</v>
      </c>
      <c r="K14" s="153">
        <v>2</v>
      </c>
      <c r="L14" s="154">
        <v>45302</v>
      </c>
    </row>
    <row r="15" spans="2:12" x14ac:dyDescent="0.25">
      <c r="B15" s="558"/>
      <c r="C15" s="160" t="s">
        <v>59</v>
      </c>
      <c r="E15" s="153">
        <v>3</v>
      </c>
      <c r="F15" s="154">
        <v>45057</v>
      </c>
      <c r="H15" s="153">
        <v>3</v>
      </c>
      <c r="I15" s="154">
        <v>45180</v>
      </c>
      <c r="K15" s="153">
        <v>3</v>
      </c>
      <c r="L15" s="154">
        <v>45303</v>
      </c>
    </row>
    <row r="16" spans="2:12" x14ac:dyDescent="0.25">
      <c r="B16" s="558"/>
      <c r="C16" s="160" t="s">
        <v>60</v>
      </c>
      <c r="E16" s="153">
        <v>4</v>
      </c>
      <c r="F16" s="154">
        <v>45058</v>
      </c>
      <c r="H16" s="153">
        <v>4</v>
      </c>
      <c r="I16" s="154">
        <v>45181</v>
      </c>
      <c r="K16" s="153">
        <v>4</v>
      </c>
      <c r="L16" s="154">
        <v>45306</v>
      </c>
    </row>
    <row r="17" spans="2:12" x14ac:dyDescent="0.25">
      <c r="B17" s="558"/>
      <c r="C17" s="160" t="s">
        <v>61</v>
      </c>
      <c r="E17" s="153">
        <v>5</v>
      </c>
      <c r="F17" s="154">
        <v>45061</v>
      </c>
      <c r="H17" s="153">
        <v>5</v>
      </c>
      <c r="I17" s="154">
        <v>45182</v>
      </c>
      <c r="K17" s="153">
        <v>5</v>
      </c>
      <c r="L17" s="154">
        <v>45307</v>
      </c>
    </row>
    <row r="18" spans="2:12" x14ac:dyDescent="0.25">
      <c r="B18" s="558"/>
      <c r="C18" s="160" t="s">
        <v>62</v>
      </c>
      <c r="E18" s="153">
        <v>6</v>
      </c>
      <c r="F18" s="154">
        <v>45062</v>
      </c>
      <c r="H18" s="153">
        <v>6</v>
      </c>
      <c r="I18" s="154">
        <v>45183</v>
      </c>
      <c r="K18" s="153">
        <v>6</v>
      </c>
      <c r="L18" s="154">
        <v>45308</v>
      </c>
    </row>
    <row r="19" spans="2:12" x14ac:dyDescent="0.25">
      <c r="B19" s="558"/>
      <c r="C19" s="160" t="s">
        <v>63</v>
      </c>
      <c r="E19" s="153">
        <v>7</v>
      </c>
      <c r="F19" s="154">
        <v>45063</v>
      </c>
      <c r="H19" s="153">
        <v>7</v>
      </c>
      <c r="I19" s="154">
        <v>45184</v>
      </c>
      <c r="K19" s="153">
        <v>7</v>
      </c>
      <c r="L19" s="154">
        <v>45309</v>
      </c>
    </row>
    <row r="20" spans="2:12" x14ac:dyDescent="0.25">
      <c r="B20" s="558"/>
      <c r="C20" s="160" t="s">
        <v>64</v>
      </c>
      <c r="E20" s="153">
        <v>8</v>
      </c>
      <c r="F20" s="154">
        <v>45064</v>
      </c>
      <c r="H20" s="153">
        <v>8</v>
      </c>
      <c r="I20" s="154">
        <v>45187</v>
      </c>
      <c r="K20" s="153">
        <v>8</v>
      </c>
      <c r="L20" s="154">
        <v>45310</v>
      </c>
    </row>
    <row r="21" spans="2:12" x14ac:dyDescent="0.25">
      <c r="B21" s="558"/>
      <c r="C21" s="160" t="s">
        <v>65</v>
      </c>
      <c r="E21" s="153">
        <v>9</v>
      </c>
      <c r="F21" s="154">
        <v>45065</v>
      </c>
      <c r="H21" s="153">
        <v>9</v>
      </c>
      <c r="I21" s="154">
        <v>45188</v>
      </c>
      <c r="K21" s="153">
        <v>9</v>
      </c>
      <c r="L21" s="154">
        <v>45313</v>
      </c>
    </row>
    <row r="22" spans="2:12" x14ac:dyDescent="0.25">
      <c r="B22" s="576"/>
      <c r="C22" s="161" t="s">
        <v>66</v>
      </c>
      <c r="E22" s="155">
        <v>0</v>
      </c>
      <c r="F22" s="156">
        <v>45069</v>
      </c>
      <c r="G22" s="157"/>
      <c r="H22" s="155">
        <v>0</v>
      </c>
      <c r="I22" s="177">
        <v>45189</v>
      </c>
      <c r="J22" s="158"/>
      <c r="K22" s="155">
        <v>0</v>
      </c>
      <c r="L22" s="156">
        <v>45314</v>
      </c>
    </row>
    <row r="23" spans="2:12" ht="3" customHeight="1" x14ac:dyDescent="0.25"/>
    <row r="24" spans="2:12" ht="15" customHeight="1" x14ac:dyDescent="0.25"/>
    <row r="25" spans="2:12" ht="15" customHeight="1" x14ac:dyDescent="0.25">
      <c r="E25" s="564" t="s">
        <v>179</v>
      </c>
      <c r="F25" s="565"/>
      <c r="G25" s="149"/>
      <c r="H25" s="564" t="s">
        <v>180</v>
      </c>
      <c r="I25" s="565"/>
      <c r="J25" s="150"/>
      <c r="K25" s="564" t="s">
        <v>181</v>
      </c>
      <c r="L25" s="565"/>
    </row>
    <row r="26" spans="2:12" ht="15" customHeight="1" x14ac:dyDescent="0.25">
      <c r="E26" s="566"/>
      <c r="F26" s="567"/>
      <c r="G26" s="149"/>
      <c r="H26" s="566"/>
      <c r="I26" s="567"/>
      <c r="J26" s="150"/>
      <c r="K26" s="566"/>
      <c r="L26" s="567"/>
    </row>
    <row r="27" spans="2:12" ht="15" customHeight="1" x14ac:dyDescent="0.25">
      <c r="E27" s="568"/>
      <c r="F27" s="569"/>
      <c r="G27" s="149"/>
      <c r="H27" s="568"/>
      <c r="I27" s="569"/>
      <c r="J27" s="150"/>
      <c r="K27" s="568"/>
      <c r="L27" s="569"/>
    </row>
    <row r="28" spans="2:12" ht="15" customHeight="1" x14ac:dyDescent="0.25"/>
    <row r="29" spans="2:12" ht="15" customHeight="1" x14ac:dyDescent="0.25">
      <c r="E29" s="559" t="s">
        <v>54</v>
      </c>
      <c r="F29" s="549" t="s">
        <v>55</v>
      </c>
      <c r="G29" s="149"/>
      <c r="H29" s="559" t="s">
        <v>54</v>
      </c>
      <c r="I29" s="549" t="s">
        <v>55</v>
      </c>
      <c r="J29" s="150"/>
      <c r="K29" s="559" t="s">
        <v>54</v>
      </c>
      <c r="L29" s="549" t="s">
        <v>55</v>
      </c>
    </row>
    <row r="30" spans="2:12" ht="15" customHeight="1" x14ac:dyDescent="0.25">
      <c r="E30" s="560"/>
      <c r="F30" s="550"/>
      <c r="G30" s="149"/>
      <c r="H30" s="560"/>
      <c r="I30" s="550"/>
      <c r="J30" s="150"/>
      <c r="K30" s="560"/>
      <c r="L30" s="550"/>
    </row>
    <row r="31" spans="2:12" ht="15" customHeight="1" x14ac:dyDescent="0.25">
      <c r="E31" s="151">
        <v>1</v>
      </c>
      <c r="F31" s="152">
        <v>45176</v>
      </c>
      <c r="H31" s="151">
        <v>1</v>
      </c>
      <c r="I31" s="152">
        <v>45238</v>
      </c>
      <c r="K31" s="151">
        <v>1</v>
      </c>
      <c r="L31" s="152">
        <v>45301</v>
      </c>
    </row>
    <row r="32" spans="2:12" ht="15" customHeight="1" x14ac:dyDescent="0.25">
      <c r="E32" s="153">
        <v>2</v>
      </c>
      <c r="F32" s="154">
        <v>45177</v>
      </c>
      <c r="H32" s="153">
        <v>2</v>
      </c>
      <c r="I32" s="154">
        <v>45239</v>
      </c>
      <c r="K32" s="153">
        <v>2</v>
      </c>
      <c r="L32" s="154">
        <v>45302</v>
      </c>
    </row>
    <row r="33" spans="5:12" ht="15" customHeight="1" x14ac:dyDescent="0.25">
      <c r="E33" s="153">
        <v>3</v>
      </c>
      <c r="F33" s="154">
        <v>45180</v>
      </c>
      <c r="H33" s="153">
        <v>3</v>
      </c>
      <c r="I33" s="154">
        <v>45240</v>
      </c>
      <c r="K33" s="153">
        <v>3</v>
      </c>
      <c r="L33" s="154">
        <v>45303</v>
      </c>
    </row>
    <row r="34" spans="5:12" ht="15" customHeight="1" x14ac:dyDescent="0.25">
      <c r="E34" s="153">
        <v>4</v>
      </c>
      <c r="F34" s="154">
        <v>45181</v>
      </c>
      <c r="H34" s="153">
        <v>4</v>
      </c>
      <c r="I34" s="154">
        <v>45244</v>
      </c>
      <c r="K34" s="153">
        <v>4</v>
      </c>
      <c r="L34" s="154">
        <v>45306</v>
      </c>
    </row>
    <row r="35" spans="5:12" ht="15" customHeight="1" x14ac:dyDescent="0.25">
      <c r="E35" s="153">
        <v>5</v>
      </c>
      <c r="F35" s="154">
        <v>45182</v>
      </c>
      <c r="H35" s="153">
        <v>5</v>
      </c>
      <c r="I35" s="154">
        <v>45245</v>
      </c>
      <c r="K35" s="153">
        <v>5</v>
      </c>
      <c r="L35" s="154">
        <v>45307</v>
      </c>
    </row>
    <row r="36" spans="5:12" ht="15" customHeight="1" x14ac:dyDescent="0.25">
      <c r="E36" s="153">
        <v>6</v>
      </c>
      <c r="F36" s="154">
        <v>45183</v>
      </c>
      <c r="H36" s="153">
        <v>6</v>
      </c>
      <c r="I36" s="154">
        <v>45246</v>
      </c>
      <c r="K36" s="153">
        <v>6</v>
      </c>
      <c r="L36" s="154">
        <v>45308</v>
      </c>
    </row>
    <row r="37" spans="5:12" ht="15" customHeight="1" x14ac:dyDescent="0.25">
      <c r="E37" s="153">
        <v>7</v>
      </c>
      <c r="F37" s="154">
        <v>45184</v>
      </c>
      <c r="H37" s="153">
        <v>7</v>
      </c>
      <c r="I37" s="154">
        <v>45247</v>
      </c>
      <c r="K37" s="153">
        <v>7</v>
      </c>
      <c r="L37" s="154">
        <v>45309</v>
      </c>
    </row>
    <row r="38" spans="5:12" ht="15" customHeight="1" x14ac:dyDescent="0.25">
      <c r="E38" s="153">
        <v>8</v>
      </c>
      <c r="F38" s="154">
        <v>45187</v>
      </c>
      <c r="H38" s="153">
        <v>8</v>
      </c>
      <c r="I38" s="154">
        <v>45250</v>
      </c>
      <c r="K38" s="153">
        <v>8</v>
      </c>
      <c r="L38" s="154">
        <v>45310</v>
      </c>
    </row>
    <row r="39" spans="5:12" ht="15" customHeight="1" x14ac:dyDescent="0.25">
      <c r="E39" s="153">
        <v>9</v>
      </c>
      <c r="F39" s="154">
        <v>45188</v>
      </c>
      <c r="H39" s="153">
        <v>9</v>
      </c>
      <c r="I39" s="154">
        <v>45251</v>
      </c>
      <c r="K39" s="153">
        <v>9</v>
      </c>
      <c r="L39" s="154">
        <v>45313</v>
      </c>
    </row>
    <row r="40" spans="5:12" ht="15" customHeight="1" x14ac:dyDescent="0.25">
      <c r="E40" s="155">
        <v>0</v>
      </c>
      <c r="F40" s="156">
        <v>45189</v>
      </c>
      <c r="G40" s="157"/>
      <c r="H40" s="155">
        <v>0</v>
      </c>
      <c r="I40" s="156">
        <v>45252</v>
      </c>
      <c r="J40" s="158"/>
      <c r="K40" s="155">
        <v>0</v>
      </c>
      <c r="L40" s="156">
        <v>45314</v>
      </c>
    </row>
    <row r="41" spans="5:12" ht="3" customHeight="1" x14ac:dyDescent="0.25"/>
    <row r="42" spans="5:12" ht="12" hidden="1" customHeight="1" x14ac:dyDescent="0.25"/>
  </sheetData>
  <sheetProtection algorithmName="SHA-512" hashValue="HloW+eqcjEhXitja/p+04TR1svcoUbwX8tSbxQczh6La0NS+7IhXEUQZhmN29RG/N8rGCuLEs6SdkksG2VgGng==" saltValue="l8AkjtErm3HHx9ZLUIFg5w==" spinCount="100000" sheet="1" objects="1" scenarios="1"/>
  <protectedRanges>
    <protectedRange algorithmName="SHA-512" hashValue="jINvbTwXakQUSzVYjqYQn4zjlqKfp7OiI+ORW/bbFbHDQmVPLRzlPylNnSdn0HC3Yi/YDdmiebTgkOoEVubVTg==" saltValue="oz4ERHYEiXDH7Lvs7qQREQ==" spinCount="100000" sqref="A24:XFD30" name="Rango2"/>
    <protectedRange algorithmName="SHA-512" hashValue="PV9aETEpKvOD0jHgZDJjzdrHAkWuxx3bCnCpeQSXmJ+gIhJienoUk87jhWgGd+8CagaQo08nxM+KIY1BDELM+g==" saltValue="cCENA+KneVZAIELa+jDMoQ==" spinCount="100000" sqref="E7:L22" name="IVABimestral"/>
  </protectedRanges>
  <mergeCells count="23">
    <mergeCell ref="L11:L12"/>
    <mergeCell ref="E25:F27"/>
    <mergeCell ref="H25:I27"/>
    <mergeCell ref="K25:L27"/>
    <mergeCell ref="E29:E30"/>
    <mergeCell ref="F29:F30"/>
    <mergeCell ref="H29:H30"/>
    <mergeCell ref="I29:I30"/>
    <mergeCell ref="K29:K30"/>
    <mergeCell ref="L29:L30"/>
    <mergeCell ref="B11:B22"/>
    <mergeCell ref="E11:E12"/>
    <mergeCell ref="F11:F12"/>
    <mergeCell ref="H11:H12"/>
    <mergeCell ref="I11:I12"/>
    <mergeCell ref="K11:K12"/>
    <mergeCell ref="B2:C6"/>
    <mergeCell ref="E3:L3"/>
    <mergeCell ref="B7:C8"/>
    <mergeCell ref="E7:F9"/>
    <mergeCell ref="H7:I9"/>
    <mergeCell ref="K7:L9"/>
    <mergeCell ref="B9:C9"/>
  </mergeCells>
  <hyperlinks>
    <hyperlink ref="B11:B22" location="Anual!A1" display="Calendario" xr:uid="{CFC44D5D-DFA9-4429-9976-52A25913E91B}"/>
    <hyperlink ref="C11" location="Enero!A1" display="Enero" xr:uid="{AF7D01E0-65DB-4163-A0EC-82CD98F4FB74}"/>
    <hyperlink ref="C12" location="Febrero!A1" display="Febrero" xr:uid="{10917F9D-1B4D-40A0-BD6F-922653FB3D5B}"/>
    <hyperlink ref="C13" location="Marzo!A1" display="Marzo" xr:uid="{C9E69072-61BA-440E-B03D-33240130AF89}"/>
    <hyperlink ref="C14" location="Abril!A1" display="Abril" xr:uid="{13019238-001D-4307-BE75-E109BB221125}"/>
    <hyperlink ref="C15" location="Mayo!A1" display="Mayo" xr:uid="{01CB1686-5FB4-4EE9-9C96-EC4416B4FCA3}"/>
    <hyperlink ref="C16" location="Junio!A1" display="Junio" xr:uid="{DED25F50-8267-4749-8325-498123B4FEF6}"/>
    <hyperlink ref="C17" location="Julio!A1" display="Julio" xr:uid="{1FA3244F-F0D8-4F7D-8C05-E62B9474BAFD}"/>
    <hyperlink ref="C18" location="Agosto!A1" display="Agosto" xr:uid="{B02A9F9F-AED0-4418-8DC4-B78D92DFF53B}"/>
    <hyperlink ref="C19" location="Septiembre!A1" display="Septiembre" xr:uid="{ACDCA088-A35F-4F15-AA39-04EE43EAEF5F}"/>
    <hyperlink ref="C20" location="Octubre!A1" display="Octubre" xr:uid="{086E70F6-4F25-469B-83AA-36A65B96B2BC}"/>
    <hyperlink ref="C21" location="Noviembre!A1" display="Noviembre" xr:uid="{5B3B1656-D18C-4B75-AEAC-673F1F038772}"/>
    <hyperlink ref="C22" location="Diciembre!A1" display="Diciembre" xr:uid="{F76DB5E9-9296-4225-BE7F-36CB454F78EC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D21F1-F5D7-4A89-95E0-1812009B291A}">
  <dimension ref="A1:M42"/>
  <sheetViews>
    <sheetView showGridLines="0" showRowColHeaders="0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style="10" customWidth="1"/>
    <col min="8" max="8" width="13.7109375" customWidth="1"/>
    <col min="9" max="9" width="23.85546875" bestFit="1" customWidth="1"/>
    <col min="10" max="10" width="0.85546875" customWidth="1"/>
    <col min="11" max="11" width="13.7109375" customWidth="1"/>
    <col min="12" max="12" width="20.7109375" customWidth="1"/>
    <col min="13" max="13" width="0.85546875" customWidth="1"/>
    <col min="14" max="16384" width="11.42578125" hidden="1"/>
  </cols>
  <sheetData>
    <row r="1" spans="2:12" ht="28.5" customHeight="1" x14ac:dyDescent="0.25"/>
    <row r="2" spans="2:12" ht="15" customHeight="1" x14ac:dyDescent="0.25">
      <c r="B2" s="546"/>
      <c r="C2" s="546"/>
    </row>
    <row r="3" spans="2:12" ht="15.75" x14ac:dyDescent="0.25">
      <c r="B3" s="546"/>
      <c r="C3" s="546"/>
      <c r="E3" s="562" t="s">
        <v>207</v>
      </c>
      <c r="F3" s="562"/>
      <c r="G3" s="562"/>
      <c r="H3" s="562"/>
      <c r="I3" s="562"/>
      <c r="J3" s="562"/>
      <c r="K3" s="562"/>
      <c r="L3" s="562"/>
    </row>
    <row r="4" spans="2:12" x14ac:dyDescent="0.25">
      <c r="B4" s="546"/>
      <c r="C4" s="546"/>
    </row>
    <row r="5" spans="2:12" ht="15.75" customHeight="1" x14ac:dyDescent="0.25">
      <c r="B5" s="546"/>
      <c r="C5" s="546"/>
      <c r="E5" s="147" t="s">
        <v>208</v>
      </c>
      <c r="F5" s="147"/>
      <c r="G5" s="147"/>
      <c r="H5" s="147"/>
      <c r="I5" s="147"/>
      <c r="J5" s="147"/>
      <c r="K5" s="147"/>
      <c r="L5" s="147"/>
    </row>
    <row r="6" spans="2:12" x14ac:dyDescent="0.25">
      <c r="B6" s="546"/>
      <c r="C6" s="546"/>
    </row>
    <row r="7" spans="2:12" ht="15" customHeight="1" x14ac:dyDescent="0.25">
      <c r="B7" s="563" t="s">
        <v>47</v>
      </c>
      <c r="C7" s="563"/>
      <c r="E7" s="564" t="s">
        <v>209</v>
      </c>
      <c r="F7" s="565"/>
      <c r="G7" s="149"/>
      <c r="H7" s="564" t="s">
        <v>210</v>
      </c>
      <c r="I7" s="565"/>
      <c r="J7" s="150"/>
      <c r="K7" s="564" t="s">
        <v>211</v>
      </c>
      <c r="L7" s="565"/>
    </row>
    <row r="8" spans="2:12" x14ac:dyDescent="0.25">
      <c r="B8" s="563"/>
      <c r="C8" s="563"/>
      <c r="E8" s="566"/>
      <c r="F8" s="567"/>
      <c r="G8" s="149"/>
      <c r="H8" s="566"/>
      <c r="I8" s="567"/>
      <c r="J8" s="150"/>
      <c r="K8" s="566"/>
      <c r="L8" s="567"/>
    </row>
    <row r="9" spans="2:12" x14ac:dyDescent="0.25">
      <c r="B9" s="555" t="s">
        <v>67</v>
      </c>
      <c r="C9" s="556"/>
      <c r="E9" s="568"/>
      <c r="F9" s="569"/>
      <c r="G9" s="149"/>
      <c r="H9" s="568"/>
      <c r="I9" s="569"/>
      <c r="J9" s="150"/>
      <c r="K9" s="568"/>
      <c r="L9" s="569"/>
    </row>
    <row r="10" spans="2:12" x14ac:dyDescent="0.25">
      <c r="B10" s="173"/>
      <c r="C10" s="172" t="s">
        <v>51</v>
      </c>
    </row>
    <row r="11" spans="2:12" ht="15" customHeight="1" x14ac:dyDescent="0.25">
      <c r="B11" s="557" t="s">
        <v>52</v>
      </c>
      <c r="C11" s="159" t="s">
        <v>53</v>
      </c>
      <c r="E11" s="559" t="s">
        <v>54</v>
      </c>
      <c r="F11" s="549" t="s">
        <v>55</v>
      </c>
      <c r="G11" s="149"/>
      <c r="H11" s="559" t="s">
        <v>54</v>
      </c>
      <c r="I11" s="549" t="s">
        <v>55</v>
      </c>
      <c r="J11" s="150"/>
      <c r="K11" s="559" t="s">
        <v>54</v>
      </c>
      <c r="L11" s="549" t="s">
        <v>55</v>
      </c>
    </row>
    <row r="12" spans="2:12" x14ac:dyDescent="0.25">
      <c r="B12" s="558"/>
      <c r="C12" s="160" t="s">
        <v>56</v>
      </c>
      <c r="E12" s="560"/>
      <c r="F12" s="550"/>
      <c r="G12" s="149"/>
      <c r="H12" s="560"/>
      <c r="I12" s="550"/>
      <c r="J12" s="150"/>
      <c r="K12" s="560"/>
      <c r="L12" s="550"/>
    </row>
    <row r="13" spans="2:12" x14ac:dyDescent="0.25">
      <c r="B13" s="558"/>
      <c r="C13" s="160" t="s">
        <v>57</v>
      </c>
      <c r="E13" s="151">
        <v>1</v>
      </c>
      <c r="F13" s="152">
        <v>45055</v>
      </c>
      <c r="H13" s="151">
        <v>1</v>
      </c>
      <c r="I13" s="152">
        <v>45176</v>
      </c>
      <c r="K13" s="151">
        <v>1</v>
      </c>
      <c r="L13" s="152">
        <v>45301</v>
      </c>
    </row>
    <row r="14" spans="2:12" x14ac:dyDescent="0.25">
      <c r="B14" s="558"/>
      <c r="C14" s="160" t="s">
        <v>58</v>
      </c>
      <c r="E14" s="153">
        <v>2</v>
      </c>
      <c r="F14" s="154">
        <v>45056</v>
      </c>
      <c r="H14" s="153">
        <v>2</v>
      </c>
      <c r="I14" s="154">
        <v>45177</v>
      </c>
      <c r="K14" s="153">
        <v>2</v>
      </c>
      <c r="L14" s="154">
        <v>45302</v>
      </c>
    </row>
    <row r="15" spans="2:12" x14ac:dyDescent="0.25">
      <c r="B15" s="558"/>
      <c r="C15" s="160" t="s">
        <v>59</v>
      </c>
      <c r="E15" s="153">
        <v>3</v>
      </c>
      <c r="F15" s="154">
        <v>45057</v>
      </c>
      <c r="H15" s="153">
        <v>3</v>
      </c>
      <c r="I15" s="154">
        <v>45180</v>
      </c>
      <c r="K15" s="153">
        <v>3</v>
      </c>
      <c r="L15" s="154">
        <v>45303</v>
      </c>
    </row>
    <row r="16" spans="2:12" x14ac:dyDescent="0.25">
      <c r="B16" s="558"/>
      <c r="C16" s="160" t="s">
        <v>60</v>
      </c>
      <c r="E16" s="153">
        <v>4</v>
      </c>
      <c r="F16" s="154">
        <v>45058</v>
      </c>
      <c r="H16" s="153">
        <v>4</v>
      </c>
      <c r="I16" s="154">
        <v>45181</v>
      </c>
      <c r="K16" s="153">
        <v>4</v>
      </c>
      <c r="L16" s="154">
        <v>45306</v>
      </c>
    </row>
    <row r="17" spans="2:12" x14ac:dyDescent="0.25">
      <c r="B17" s="558"/>
      <c r="C17" s="160" t="s">
        <v>61</v>
      </c>
      <c r="E17" s="153">
        <v>5</v>
      </c>
      <c r="F17" s="154">
        <v>45061</v>
      </c>
      <c r="H17" s="153">
        <v>5</v>
      </c>
      <c r="I17" s="154">
        <v>45182</v>
      </c>
      <c r="K17" s="153">
        <v>5</v>
      </c>
      <c r="L17" s="154">
        <v>45307</v>
      </c>
    </row>
    <row r="18" spans="2:12" x14ac:dyDescent="0.25">
      <c r="B18" s="558"/>
      <c r="C18" s="160" t="s">
        <v>62</v>
      </c>
      <c r="E18" s="153">
        <v>6</v>
      </c>
      <c r="F18" s="154">
        <v>45062</v>
      </c>
      <c r="H18" s="153">
        <v>6</v>
      </c>
      <c r="I18" s="154">
        <v>45183</v>
      </c>
      <c r="K18" s="153">
        <v>6</v>
      </c>
      <c r="L18" s="154">
        <v>45308</v>
      </c>
    </row>
    <row r="19" spans="2:12" x14ac:dyDescent="0.25">
      <c r="B19" s="558"/>
      <c r="C19" s="160" t="s">
        <v>63</v>
      </c>
      <c r="E19" s="153">
        <v>7</v>
      </c>
      <c r="F19" s="154">
        <v>45063</v>
      </c>
      <c r="H19" s="153">
        <v>7</v>
      </c>
      <c r="I19" s="154">
        <v>45184</v>
      </c>
      <c r="K19" s="153">
        <v>7</v>
      </c>
      <c r="L19" s="154">
        <v>45309</v>
      </c>
    </row>
    <row r="20" spans="2:12" x14ac:dyDescent="0.25">
      <c r="B20" s="558"/>
      <c r="C20" s="160" t="s">
        <v>64</v>
      </c>
      <c r="E20" s="153">
        <v>8</v>
      </c>
      <c r="F20" s="154">
        <v>45064</v>
      </c>
      <c r="H20" s="153">
        <v>8</v>
      </c>
      <c r="I20" s="154">
        <v>45187</v>
      </c>
      <c r="K20" s="153">
        <v>8</v>
      </c>
      <c r="L20" s="154">
        <v>45310</v>
      </c>
    </row>
    <row r="21" spans="2:12" x14ac:dyDescent="0.25">
      <c r="B21" s="558"/>
      <c r="C21" s="160" t="s">
        <v>65</v>
      </c>
      <c r="E21" s="153">
        <v>9</v>
      </c>
      <c r="F21" s="154">
        <v>45065</v>
      </c>
      <c r="H21" s="153">
        <v>9</v>
      </c>
      <c r="I21" s="154">
        <v>45188</v>
      </c>
      <c r="K21" s="153">
        <v>9</v>
      </c>
      <c r="L21" s="154">
        <v>45313</v>
      </c>
    </row>
    <row r="22" spans="2:12" x14ac:dyDescent="0.25">
      <c r="B22" s="576"/>
      <c r="C22" s="161" t="s">
        <v>66</v>
      </c>
      <c r="E22" s="155">
        <v>0</v>
      </c>
      <c r="F22" s="156">
        <v>45069</v>
      </c>
      <c r="G22" s="157"/>
      <c r="H22" s="155">
        <v>0</v>
      </c>
      <c r="I22" s="177">
        <v>45189</v>
      </c>
      <c r="J22" s="158"/>
      <c r="K22" s="155">
        <v>0</v>
      </c>
      <c r="L22" s="156">
        <v>45314</v>
      </c>
    </row>
    <row r="23" spans="2:12" ht="3" customHeight="1" x14ac:dyDescent="0.25"/>
    <row r="25" spans="2:12" ht="15" hidden="1" customHeight="1" x14ac:dyDescent="0.25">
      <c r="E25" s="564" t="s">
        <v>179</v>
      </c>
      <c r="F25" s="565"/>
      <c r="G25" s="149"/>
      <c r="H25" s="564" t="s">
        <v>180</v>
      </c>
      <c r="I25" s="565"/>
      <c r="J25" s="150"/>
      <c r="K25" s="564" t="s">
        <v>181</v>
      </c>
      <c r="L25" s="565"/>
    </row>
    <row r="26" spans="2:12" ht="15" hidden="1" customHeight="1" x14ac:dyDescent="0.25">
      <c r="E26" s="566"/>
      <c r="F26" s="567"/>
      <c r="G26" s="149"/>
      <c r="H26" s="566"/>
      <c r="I26" s="567"/>
      <c r="J26" s="150"/>
      <c r="K26" s="566"/>
      <c r="L26" s="567"/>
    </row>
    <row r="27" spans="2:12" ht="15" hidden="1" customHeight="1" x14ac:dyDescent="0.25">
      <c r="E27" s="568"/>
      <c r="F27" s="569"/>
      <c r="G27" s="149"/>
      <c r="H27" s="568"/>
      <c r="I27" s="569"/>
      <c r="J27" s="150"/>
      <c r="K27" s="568"/>
      <c r="L27" s="569"/>
    </row>
    <row r="29" spans="2:12" ht="15" hidden="1" customHeight="1" x14ac:dyDescent="0.25">
      <c r="E29" s="559" t="s">
        <v>54</v>
      </c>
      <c r="F29" s="549" t="s">
        <v>55</v>
      </c>
      <c r="G29" s="149"/>
      <c r="H29" s="559" t="s">
        <v>54</v>
      </c>
      <c r="I29" s="549" t="s">
        <v>55</v>
      </c>
      <c r="J29" s="150"/>
      <c r="K29" s="559" t="s">
        <v>54</v>
      </c>
      <c r="L29" s="549" t="s">
        <v>55</v>
      </c>
    </row>
    <row r="30" spans="2:12" ht="15" hidden="1" customHeight="1" x14ac:dyDescent="0.25">
      <c r="E30" s="560"/>
      <c r="F30" s="550"/>
      <c r="G30" s="149"/>
      <c r="H30" s="560"/>
      <c r="I30" s="550"/>
      <c r="J30" s="150"/>
      <c r="K30" s="560"/>
      <c r="L30" s="550"/>
    </row>
    <row r="31" spans="2:12" ht="15" hidden="1" customHeight="1" x14ac:dyDescent="0.25">
      <c r="E31" s="151">
        <v>1</v>
      </c>
      <c r="F31" s="152">
        <v>45176</v>
      </c>
      <c r="H31" s="151">
        <v>1</v>
      </c>
      <c r="I31" s="152">
        <v>45238</v>
      </c>
      <c r="K31" s="151">
        <v>1</v>
      </c>
      <c r="L31" s="152">
        <v>45301</v>
      </c>
    </row>
    <row r="32" spans="2:12" ht="15" hidden="1" customHeight="1" x14ac:dyDescent="0.25">
      <c r="E32" s="153">
        <v>2</v>
      </c>
      <c r="F32" s="154">
        <v>45177</v>
      </c>
      <c r="H32" s="153">
        <v>2</v>
      </c>
      <c r="I32" s="154">
        <v>45239</v>
      </c>
      <c r="K32" s="153">
        <v>2</v>
      </c>
      <c r="L32" s="154">
        <v>45302</v>
      </c>
    </row>
    <row r="33" spans="5:12" ht="15" hidden="1" customHeight="1" x14ac:dyDescent="0.25">
      <c r="E33" s="153">
        <v>3</v>
      </c>
      <c r="F33" s="154">
        <v>45180</v>
      </c>
      <c r="H33" s="153">
        <v>3</v>
      </c>
      <c r="I33" s="154">
        <v>45240</v>
      </c>
      <c r="K33" s="153">
        <v>3</v>
      </c>
      <c r="L33" s="154">
        <v>45303</v>
      </c>
    </row>
    <row r="34" spans="5:12" ht="15" hidden="1" customHeight="1" x14ac:dyDescent="0.25">
      <c r="E34" s="153">
        <v>4</v>
      </c>
      <c r="F34" s="154">
        <v>45181</v>
      </c>
      <c r="H34" s="153">
        <v>4</v>
      </c>
      <c r="I34" s="154">
        <v>45244</v>
      </c>
      <c r="K34" s="153">
        <v>4</v>
      </c>
      <c r="L34" s="154">
        <v>45306</v>
      </c>
    </row>
    <row r="35" spans="5:12" ht="15" hidden="1" customHeight="1" x14ac:dyDescent="0.25">
      <c r="E35" s="153">
        <v>5</v>
      </c>
      <c r="F35" s="154">
        <v>45182</v>
      </c>
      <c r="H35" s="153">
        <v>5</v>
      </c>
      <c r="I35" s="154">
        <v>45245</v>
      </c>
      <c r="K35" s="153">
        <v>5</v>
      </c>
      <c r="L35" s="154">
        <v>45307</v>
      </c>
    </row>
    <row r="36" spans="5:12" ht="15" hidden="1" customHeight="1" x14ac:dyDescent="0.25">
      <c r="E36" s="153">
        <v>6</v>
      </c>
      <c r="F36" s="154">
        <v>45183</v>
      </c>
      <c r="H36" s="153">
        <v>6</v>
      </c>
      <c r="I36" s="154">
        <v>45246</v>
      </c>
      <c r="K36" s="153">
        <v>6</v>
      </c>
      <c r="L36" s="154">
        <v>45308</v>
      </c>
    </row>
    <row r="37" spans="5:12" ht="15" hidden="1" customHeight="1" x14ac:dyDescent="0.25">
      <c r="E37" s="153">
        <v>7</v>
      </c>
      <c r="F37" s="154">
        <v>45184</v>
      </c>
      <c r="H37" s="153">
        <v>7</v>
      </c>
      <c r="I37" s="154">
        <v>45247</v>
      </c>
      <c r="K37" s="153">
        <v>7</v>
      </c>
      <c r="L37" s="154">
        <v>45309</v>
      </c>
    </row>
    <row r="38" spans="5:12" ht="15" hidden="1" customHeight="1" x14ac:dyDescent="0.25">
      <c r="E38" s="153">
        <v>8</v>
      </c>
      <c r="F38" s="154">
        <v>45187</v>
      </c>
      <c r="H38" s="153">
        <v>8</v>
      </c>
      <c r="I38" s="154">
        <v>45250</v>
      </c>
      <c r="K38" s="153">
        <v>8</v>
      </c>
      <c r="L38" s="154">
        <v>45310</v>
      </c>
    </row>
    <row r="39" spans="5:12" ht="15" hidden="1" customHeight="1" x14ac:dyDescent="0.25">
      <c r="E39" s="153">
        <v>9</v>
      </c>
      <c r="F39" s="154">
        <v>45188</v>
      </c>
      <c r="H39" s="153">
        <v>9</v>
      </c>
      <c r="I39" s="154">
        <v>45251</v>
      </c>
      <c r="K39" s="153">
        <v>9</v>
      </c>
      <c r="L39" s="154">
        <v>45313</v>
      </c>
    </row>
    <row r="40" spans="5:12" ht="15" hidden="1" customHeight="1" x14ac:dyDescent="0.25">
      <c r="E40" s="155">
        <v>0</v>
      </c>
      <c r="F40" s="156">
        <v>45189</v>
      </c>
      <c r="G40" s="157"/>
      <c r="H40" s="155">
        <v>0</v>
      </c>
      <c r="I40" s="156">
        <v>45252</v>
      </c>
      <c r="J40" s="158"/>
      <c r="K40" s="155">
        <v>0</v>
      </c>
      <c r="L40" s="156">
        <v>45314</v>
      </c>
    </row>
    <row r="41" spans="5:12" ht="3" hidden="1" customHeight="1" x14ac:dyDescent="0.25"/>
    <row r="42" spans="5:12" ht="3.75" customHeight="1" x14ac:dyDescent="0.25"/>
  </sheetData>
  <sheetProtection algorithmName="SHA-512" hashValue="uRB9viV8I6aOJBDKDND/OxcJCzOKKB+7+XZGM7X4I0tkdIS5wH5r+AoDR/KXxq0axszRLubdOeoU4LfakWcEdg==" saltValue="/Yab1rWJDN7bRZ/sKy60SA==" spinCount="100000" sheet="1" objects="1" scenarios="1"/>
  <protectedRanges>
    <protectedRange algorithmName="SHA-512" hashValue="PV9aETEpKvOD0jHgZDJjzdrHAkWuxx3bCnCpeQSXmJ+gIhJienoUk87jhWgGd+8CagaQo08nxM+KIY1BDELM+g==" saltValue="cCENA+KneVZAIELa+jDMoQ==" spinCount="100000" sqref="E7:L22" name="IVAcuatrimestral"/>
  </protectedRanges>
  <mergeCells count="23">
    <mergeCell ref="B2:C6"/>
    <mergeCell ref="E3:L3"/>
    <mergeCell ref="B7:C8"/>
    <mergeCell ref="E7:F9"/>
    <mergeCell ref="H7:I9"/>
    <mergeCell ref="K7:L9"/>
    <mergeCell ref="B9:C9"/>
    <mergeCell ref="B11:B22"/>
    <mergeCell ref="E11:E12"/>
    <mergeCell ref="F11:F12"/>
    <mergeCell ref="H11:H12"/>
    <mergeCell ref="I11:I12"/>
    <mergeCell ref="L11:L12"/>
    <mergeCell ref="E25:F27"/>
    <mergeCell ref="H25:I27"/>
    <mergeCell ref="K25:L27"/>
    <mergeCell ref="E29:E30"/>
    <mergeCell ref="F29:F30"/>
    <mergeCell ref="H29:H30"/>
    <mergeCell ref="I29:I30"/>
    <mergeCell ref="K29:K30"/>
    <mergeCell ref="L29:L30"/>
    <mergeCell ref="K11:K12"/>
  </mergeCells>
  <hyperlinks>
    <hyperlink ref="B11:B22" location="Anual!A1" display="Calendario" xr:uid="{7EF636DA-252B-41A7-975B-AA86DADE2964}"/>
    <hyperlink ref="C11" location="Enero!A1" display="Enero" xr:uid="{FF467043-5F82-44B8-80D3-32EBD7D3A617}"/>
    <hyperlink ref="C12" location="Febrero!A1" display="Febrero" xr:uid="{53912C89-9B04-4CC7-9CC3-F470BB82CD9F}"/>
    <hyperlink ref="C13" location="Marzo!A1" display="Marzo" xr:uid="{78E55C26-E94E-4C46-8392-E6B547B28D7E}"/>
    <hyperlink ref="C14" location="Abril!A1" display="Abril" xr:uid="{AE479B76-9E01-40B0-8FCB-0FBFA6691BD5}"/>
    <hyperlink ref="C15" location="Mayo!A1" display="Mayo" xr:uid="{7CF8F710-3996-405E-8883-956174AD7FC0}"/>
    <hyperlink ref="C16" location="Junio!A1" display="Junio" xr:uid="{D7F05C68-8A74-4D5F-98AF-505EDC600FDB}"/>
    <hyperlink ref="C17" location="Julio!A1" display="Julio" xr:uid="{53E0B73C-4AFC-4C11-92A3-314B1DF83F07}"/>
    <hyperlink ref="C18" location="Agosto!A1" display="Agosto" xr:uid="{65A79494-8795-4683-86ED-79A6E7D84C19}"/>
    <hyperlink ref="C19" location="Septiembre!A1" display="Septiembre" xr:uid="{C7A059A7-5F12-416E-9885-4027EF0F54EC}"/>
    <hyperlink ref="C20" location="Octubre!A1" display="Octubre" xr:uid="{5DE0DD3D-FFBA-4263-927E-5C0D4971002C}"/>
    <hyperlink ref="C21" location="Noviembre!A1" display="Noviembre" xr:uid="{638D7948-973F-4E14-B115-472F0B27F220}"/>
    <hyperlink ref="C22" location="Diciembre!A1" display="Diciembre" xr:uid="{552FAF35-ECE0-4493-8C2C-9C5A8C5B7943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45990-8D5E-4BD8-8278-DFC736F9C1D7}">
  <dimension ref="A1:K24"/>
  <sheetViews>
    <sheetView showGridLines="0" showRowColHeaders="0" workbookViewId="0">
      <selection activeCell="E14" sqref="E14:J23"/>
    </sheetView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5.7109375" customWidth="1"/>
    <col min="6" max="6" width="30" bestFit="1" customWidth="1"/>
    <col min="7" max="7" width="5.42578125" customWidth="1"/>
    <col min="8" max="8" width="29.5703125" bestFit="1" customWidth="1"/>
    <col min="9" max="9" width="4.42578125" bestFit="1" customWidth="1"/>
    <col min="10" max="10" width="28.140625" bestFit="1" customWidth="1"/>
    <col min="11" max="11" width="1" customWidth="1"/>
    <col min="12" max="16384" width="11.42578125" hidden="1"/>
  </cols>
  <sheetData>
    <row r="1" spans="2:11" x14ac:dyDescent="0.25"/>
    <row r="2" spans="2:11" ht="28.5" customHeight="1" x14ac:dyDescent="0.25">
      <c r="H2" s="10"/>
      <c r="K2" s="10"/>
    </row>
    <row r="3" spans="2:11" ht="15" customHeight="1" x14ac:dyDescent="0.25">
      <c r="H3" s="10"/>
      <c r="K3" s="10"/>
    </row>
    <row r="4" spans="2:11" ht="26.25" customHeight="1" thickBot="1" x14ac:dyDescent="0.35">
      <c r="B4" s="546"/>
      <c r="C4" s="546"/>
      <c r="E4" s="608" t="s">
        <v>731</v>
      </c>
      <c r="F4" s="608"/>
      <c r="G4" s="608"/>
      <c r="H4" s="608"/>
      <c r="I4" s="608"/>
      <c r="J4" s="608"/>
      <c r="K4" s="191"/>
    </row>
    <row r="5" spans="2:11" x14ac:dyDescent="0.25">
      <c r="B5" s="546"/>
      <c r="C5" s="546"/>
      <c r="H5" s="10"/>
      <c r="K5" s="10"/>
    </row>
    <row r="6" spans="2:11" ht="15.75" customHeight="1" x14ac:dyDescent="0.25">
      <c r="B6" s="546"/>
      <c r="C6" s="546"/>
      <c r="E6" s="147" t="s">
        <v>732</v>
      </c>
      <c r="F6" s="147"/>
      <c r="G6" s="147"/>
      <c r="H6" s="147"/>
      <c r="I6" s="147"/>
      <c r="J6" s="147"/>
      <c r="K6" s="187"/>
    </row>
    <row r="7" spans="2:11" x14ac:dyDescent="0.25">
      <c r="B7" s="546"/>
      <c r="C7" s="546"/>
    </row>
    <row r="8" spans="2:11" ht="21" x14ac:dyDescent="0.35">
      <c r="B8" s="563" t="s">
        <v>47</v>
      </c>
      <c r="C8" s="563"/>
      <c r="E8" s="377" t="s">
        <v>713</v>
      </c>
      <c r="F8" s="533"/>
      <c r="G8" s="533"/>
      <c r="H8" s="533"/>
      <c r="I8" s="533"/>
      <c r="J8" s="533"/>
    </row>
    <row r="9" spans="2:11" x14ac:dyDescent="0.25">
      <c r="B9" s="563"/>
      <c r="C9" s="563"/>
    </row>
    <row r="10" spans="2:11" ht="18.75" customHeight="1" x14ac:dyDescent="0.25">
      <c r="B10" s="555" t="s">
        <v>67</v>
      </c>
      <c r="C10" s="556"/>
      <c r="E10" s="609" t="s">
        <v>714</v>
      </c>
      <c r="F10" s="534" t="s">
        <v>715</v>
      </c>
      <c r="G10" s="611" t="s">
        <v>716</v>
      </c>
      <c r="H10" s="534" t="s">
        <v>717</v>
      </c>
      <c r="I10" s="611" t="s">
        <v>718</v>
      </c>
      <c r="J10" s="531" t="s">
        <v>719</v>
      </c>
    </row>
    <row r="11" spans="2:11" ht="15.75" customHeight="1" x14ac:dyDescent="0.25">
      <c r="B11" s="173"/>
      <c r="C11" s="172" t="s">
        <v>51</v>
      </c>
      <c r="E11" s="610"/>
      <c r="F11" s="530" t="s">
        <v>720</v>
      </c>
      <c r="G11" s="612"/>
      <c r="H11" s="530" t="s">
        <v>721</v>
      </c>
      <c r="I11" s="612">
        <v>11</v>
      </c>
      <c r="J11" s="530" t="s">
        <v>722</v>
      </c>
    </row>
    <row r="12" spans="2:11" ht="18.75" customHeight="1" x14ac:dyDescent="0.25">
      <c r="B12" s="557" t="s">
        <v>52</v>
      </c>
      <c r="C12" s="159" t="s">
        <v>53</v>
      </c>
      <c r="E12" s="609" t="s">
        <v>723</v>
      </c>
      <c r="F12" s="534" t="s">
        <v>724</v>
      </c>
      <c r="G12" s="611" t="s">
        <v>29</v>
      </c>
      <c r="H12" s="534" t="s">
        <v>725</v>
      </c>
      <c r="I12" s="611" t="s">
        <v>726</v>
      </c>
      <c r="J12" s="531" t="s">
        <v>727</v>
      </c>
    </row>
    <row r="13" spans="2:11" ht="15.75" customHeight="1" thickBot="1" x14ac:dyDescent="0.3">
      <c r="B13" s="558"/>
      <c r="C13" s="160" t="s">
        <v>56</v>
      </c>
      <c r="E13" s="613"/>
      <c r="F13" s="543" t="s">
        <v>728</v>
      </c>
      <c r="G13" s="614"/>
      <c r="H13" s="532" t="s">
        <v>729</v>
      </c>
      <c r="I13" s="614">
        <v>11</v>
      </c>
      <c r="J13" s="532" t="s">
        <v>730</v>
      </c>
    </row>
    <row r="14" spans="2:11" ht="16.5" thickTop="1" thickBot="1" x14ac:dyDescent="0.3">
      <c r="B14" s="558"/>
      <c r="C14" s="160" t="s">
        <v>57</v>
      </c>
      <c r="E14" s="837"/>
      <c r="F14" s="837"/>
      <c r="G14" s="837"/>
      <c r="H14" s="837"/>
      <c r="I14" s="837"/>
      <c r="J14" s="837"/>
    </row>
    <row r="15" spans="2:11" ht="16.5" thickTop="1" thickBot="1" x14ac:dyDescent="0.3">
      <c r="B15" s="558"/>
      <c r="C15" s="160" t="s">
        <v>58</v>
      </c>
      <c r="E15" s="837"/>
      <c r="F15" s="837"/>
      <c r="G15" s="837"/>
      <c r="H15" s="837"/>
      <c r="I15" s="837"/>
      <c r="J15" s="837"/>
    </row>
    <row r="16" spans="2:11" ht="16.5" thickTop="1" thickBot="1" x14ac:dyDescent="0.3">
      <c r="B16" s="558"/>
      <c r="C16" s="160" t="s">
        <v>59</v>
      </c>
      <c r="E16" s="837"/>
      <c r="F16" s="837"/>
      <c r="G16" s="837"/>
      <c r="H16" s="837"/>
      <c r="I16" s="837"/>
      <c r="J16" s="837"/>
    </row>
    <row r="17" spans="2:10" ht="16.5" thickTop="1" thickBot="1" x14ac:dyDescent="0.3">
      <c r="B17" s="558"/>
      <c r="C17" s="160" t="s">
        <v>60</v>
      </c>
      <c r="E17" s="837"/>
      <c r="F17" s="837"/>
      <c r="G17" s="837"/>
      <c r="H17" s="837"/>
      <c r="I17" s="837"/>
      <c r="J17" s="837"/>
    </row>
    <row r="18" spans="2:10" ht="16.5" thickTop="1" thickBot="1" x14ac:dyDescent="0.3">
      <c r="B18" s="558"/>
      <c r="C18" s="160" t="s">
        <v>61</v>
      </c>
      <c r="E18" s="837"/>
      <c r="F18" s="837"/>
      <c r="G18" s="837"/>
      <c r="H18" s="837"/>
      <c r="I18" s="837"/>
      <c r="J18" s="837"/>
    </row>
    <row r="19" spans="2:10" ht="16.5" thickTop="1" thickBot="1" x14ac:dyDescent="0.3">
      <c r="B19" s="558"/>
      <c r="C19" s="160" t="s">
        <v>62</v>
      </c>
      <c r="E19" s="837"/>
      <c r="F19" s="837"/>
      <c r="G19" s="837"/>
      <c r="H19" s="837"/>
      <c r="I19" s="837"/>
      <c r="J19" s="837"/>
    </row>
    <row r="20" spans="2:10" ht="16.5" thickTop="1" thickBot="1" x14ac:dyDescent="0.3">
      <c r="B20" s="558"/>
      <c r="C20" s="160" t="s">
        <v>63</v>
      </c>
      <c r="E20" s="837"/>
      <c r="F20" s="837"/>
      <c r="G20" s="837"/>
      <c r="H20" s="837"/>
      <c r="I20" s="837"/>
      <c r="J20" s="837"/>
    </row>
    <row r="21" spans="2:10" ht="16.5" thickTop="1" thickBot="1" x14ac:dyDescent="0.3">
      <c r="B21" s="558"/>
      <c r="C21" s="160" t="s">
        <v>64</v>
      </c>
      <c r="E21" s="837"/>
      <c r="F21" s="837"/>
      <c r="G21" s="837"/>
      <c r="H21" s="837"/>
      <c r="I21" s="837"/>
      <c r="J21" s="837"/>
    </row>
    <row r="22" spans="2:10" ht="16.5" thickTop="1" thickBot="1" x14ac:dyDescent="0.3">
      <c r="B22" s="558"/>
      <c r="C22" s="160" t="s">
        <v>65</v>
      </c>
      <c r="E22" s="837"/>
      <c r="F22" s="837"/>
      <c r="G22" s="837"/>
      <c r="H22" s="837"/>
      <c r="I22" s="837"/>
      <c r="J22" s="837"/>
    </row>
    <row r="23" spans="2:10" ht="16.5" thickTop="1" thickBot="1" x14ac:dyDescent="0.3">
      <c r="B23" s="576"/>
      <c r="C23" s="161" t="s">
        <v>66</v>
      </c>
      <c r="E23" s="837"/>
      <c r="F23" s="837"/>
      <c r="G23" s="837"/>
      <c r="H23" s="837"/>
      <c r="I23" s="837"/>
      <c r="J23" s="837"/>
    </row>
    <row r="24" spans="2:10" ht="6" customHeight="1" thickTop="1" x14ac:dyDescent="0.25"/>
  </sheetData>
  <sheetProtection algorithmName="SHA-512" hashValue="Lr4JLqu4eYoK6s7pNZXCfi3g53zFhG0HC08KPZs4KppBMGEogFxG0e3clxpmLRrdyavEKAkDabgymqo/VKtuYw==" saltValue="mYv/DmT9tPZACi1KqnqDVw==" spinCount="100000" sheet="1" objects="1" scenarios="1"/>
  <protectedRanges>
    <protectedRange algorithmName="SHA-512" hashValue="03nsdB5S4WUGpbzQmmGBu4jYwV/Xc0wdHdKTiF8SMN6ssXrvDEWPQKhCQBjeQlryW8+DzchLF07pqSseQ2uIhg==" saltValue="u5RBl+JtvrSWWegzy5+wHA==" spinCount="100000" sqref="E10:J13" name="IVAservicosdelexterior"/>
  </protectedRanges>
  <mergeCells count="12">
    <mergeCell ref="E4:J4"/>
    <mergeCell ref="B8:C9"/>
    <mergeCell ref="B4:C7"/>
    <mergeCell ref="B10:C10"/>
    <mergeCell ref="B12:B23"/>
    <mergeCell ref="E14:J23"/>
    <mergeCell ref="E10:E11"/>
    <mergeCell ref="G10:G11"/>
    <mergeCell ref="I10:I11"/>
    <mergeCell ref="E12:E13"/>
    <mergeCell ref="G12:G13"/>
    <mergeCell ref="I12:I13"/>
  </mergeCells>
  <hyperlinks>
    <hyperlink ref="B12:B23" location="Anual!A1" display="Calendario" xr:uid="{45D908F7-E779-4326-9EB9-F82ED2D60B31}"/>
    <hyperlink ref="C12" location="Enero!A1" display="Enero" xr:uid="{2EBEF792-2941-4C9A-A757-F610E152A370}"/>
    <hyperlink ref="C13" location="Febrero!A1" display="Febrero" xr:uid="{FCD02F81-5E61-498E-9954-5056911F4E68}"/>
    <hyperlink ref="C14" location="Marzo!A1" display="Marzo" xr:uid="{A4925A18-50E7-4372-8195-27DEACA45B09}"/>
    <hyperlink ref="C15" location="Abril!A1" display="Abril" xr:uid="{DADE3E4A-5CAA-4528-9D64-7C7F431792F8}"/>
    <hyperlink ref="C16" location="Mayo!A1" display="Mayo" xr:uid="{B32DDFD2-3E93-4499-BBB7-65EAF6B89DC5}"/>
    <hyperlink ref="C17" location="Junio!A1" display="Junio" xr:uid="{7C068F88-476B-42F8-9E24-72E8F069A4D2}"/>
    <hyperlink ref="C18" location="Julio!A1" display="Julio" xr:uid="{93924D4F-3600-4F18-9EBE-2475EA5427B5}"/>
    <hyperlink ref="C19" location="Agosto!A1" display="Agosto" xr:uid="{9767700E-9FC4-4F2D-BD63-A0EDD77D2D8A}"/>
    <hyperlink ref="C20" location="Septiembre!A1" display="Septiembre" xr:uid="{D2632043-3C19-4006-8C33-5950E4AB397B}"/>
    <hyperlink ref="C21" location="Octubre!A1" display="Octubre" xr:uid="{E052BEEF-1387-4E2E-8478-1041F058FE12}"/>
    <hyperlink ref="C22" location="Noviembre!A1" display="Noviembre" xr:uid="{F24D9361-04AD-4F5D-8250-CA7081D5B9F6}"/>
    <hyperlink ref="C23" location="Diciembre!A1" display="Diciembre" xr:uid="{61DDD493-5DAF-400B-9661-AF143076F391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2FC3C-1A55-4607-9650-54E1DE82BB51}">
  <dimension ref="A1:J25"/>
  <sheetViews>
    <sheetView showGridLines="0" showRowColHeaders="0" zoomScale="98" zoomScaleNormal="98" workbookViewId="0"/>
  </sheetViews>
  <sheetFormatPr baseColWidth="10" defaultColWidth="0" defaultRowHeight="0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25.28515625" bestFit="1" customWidth="1"/>
    <col min="6" max="6" width="23.85546875" bestFit="1" customWidth="1"/>
    <col min="7" max="7" width="0.85546875" style="10" customWidth="1"/>
    <col min="8" max="8" width="13.7109375" customWidth="1"/>
    <col min="9" max="9" width="20.7109375" customWidth="1"/>
    <col min="10" max="10" width="0.5703125" style="10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188" t="s">
        <v>769</v>
      </c>
      <c r="F3" s="188"/>
      <c r="G3" s="188"/>
      <c r="H3" s="188"/>
      <c r="I3" s="188"/>
      <c r="J3" s="191"/>
    </row>
    <row r="4" spans="2:10" ht="15" x14ac:dyDescent="0.25">
      <c r="B4" s="546"/>
      <c r="C4" s="546"/>
    </row>
    <row r="5" spans="2:10" ht="15.75" customHeight="1" x14ac:dyDescent="0.25">
      <c r="B5" s="546"/>
      <c r="C5" s="546"/>
      <c r="E5" s="147" t="s">
        <v>696</v>
      </c>
      <c r="F5" s="147"/>
      <c r="G5" s="147"/>
      <c r="H5" s="147"/>
      <c r="I5" s="147"/>
      <c r="J5" s="187"/>
    </row>
    <row r="6" spans="2:10" ht="15" customHeight="1" x14ac:dyDescent="0.25">
      <c r="B6" s="546"/>
      <c r="C6" s="546"/>
      <c r="E6" s="148"/>
    </row>
    <row r="7" spans="2:10" ht="15" customHeight="1" x14ac:dyDescent="0.25">
      <c r="B7" s="563" t="s">
        <v>47</v>
      </c>
      <c r="C7" s="563"/>
      <c r="E7" s="564" t="s">
        <v>770</v>
      </c>
      <c r="F7" s="565"/>
      <c r="G7" s="149"/>
      <c r="H7" s="182"/>
      <c r="I7" s="182"/>
      <c r="J7" s="149"/>
    </row>
    <row r="8" spans="2:10" ht="15" x14ac:dyDescent="0.25">
      <c r="B8" s="563"/>
      <c r="C8" s="563"/>
      <c r="E8" s="566"/>
      <c r="F8" s="567"/>
      <c r="G8" s="149"/>
      <c r="H8" s="182"/>
      <c r="I8" s="182"/>
      <c r="J8" s="149"/>
    </row>
    <row r="9" spans="2:10" ht="15" x14ac:dyDescent="0.25">
      <c r="B9" s="555" t="s">
        <v>67</v>
      </c>
      <c r="C9" s="556"/>
      <c r="E9" s="568"/>
      <c r="F9" s="569"/>
      <c r="G9" s="149"/>
      <c r="H9" s="182"/>
      <c r="I9" s="182"/>
      <c r="J9" s="149"/>
    </row>
    <row r="10" spans="2:10" ht="15.75" thickBot="1" x14ac:dyDescent="0.3">
      <c r="B10" s="173"/>
      <c r="C10" s="172" t="s">
        <v>51</v>
      </c>
    </row>
    <row r="11" spans="2:10" ht="15" customHeight="1" thickTop="1" x14ac:dyDescent="0.25">
      <c r="B11" s="557" t="s">
        <v>52</v>
      </c>
      <c r="C11" s="159" t="s">
        <v>53</v>
      </c>
      <c r="E11" s="549" t="s">
        <v>54</v>
      </c>
      <c r="F11" s="549" t="s">
        <v>55</v>
      </c>
      <c r="G11" s="175"/>
      <c r="H11" s="838" t="s">
        <v>771</v>
      </c>
      <c r="I11" s="839"/>
      <c r="J11" s="149"/>
    </row>
    <row r="12" spans="2:10" ht="15" x14ac:dyDescent="0.25">
      <c r="B12" s="558"/>
      <c r="C12" s="160" t="s">
        <v>56</v>
      </c>
      <c r="E12" s="550"/>
      <c r="F12" s="550"/>
      <c r="G12" s="175"/>
      <c r="H12" s="840"/>
      <c r="I12" s="841"/>
      <c r="J12" s="149"/>
    </row>
    <row r="13" spans="2:10" ht="15" x14ac:dyDescent="0.25">
      <c r="B13" s="558"/>
      <c r="C13" s="160" t="s">
        <v>57</v>
      </c>
      <c r="E13" s="151">
        <v>1</v>
      </c>
      <c r="F13" s="178">
        <v>44967</v>
      </c>
      <c r="G13" s="176"/>
      <c r="H13" s="840"/>
      <c r="I13" s="841"/>
    </row>
    <row r="14" spans="2:10" ht="15" x14ac:dyDescent="0.25">
      <c r="B14" s="558"/>
      <c r="C14" s="160" t="s">
        <v>58</v>
      </c>
      <c r="E14" s="153">
        <v>2</v>
      </c>
      <c r="F14" s="154">
        <v>44995</v>
      </c>
      <c r="G14" s="176"/>
      <c r="H14" s="840"/>
      <c r="I14" s="841"/>
    </row>
    <row r="15" spans="2:10" ht="15" x14ac:dyDescent="0.25">
      <c r="B15" s="558"/>
      <c r="C15" s="160" t="s">
        <v>59</v>
      </c>
      <c r="E15" s="153">
        <v>3</v>
      </c>
      <c r="F15" s="154">
        <v>45037</v>
      </c>
      <c r="G15" s="176"/>
      <c r="H15" s="840"/>
      <c r="I15" s="841"/>
    </row>
    <row r="16" spans="2:10" ht="15" x14ac:dyDescent="0.25">
      <c r="B16" s="558"/>
      <c r="C16" s="160" t="s">
        <v>60</v>
      </c>
      <c r="E16" s="153">
        <v>4</v>
      </c>
      <c r="F16" s="163">
        <v>45058</v>
      </c>
      <c r="G16" s="176"/>
      <c r="H16" s="840"/>
      <c r="I16" s="841"/>
    </row>
    <row r="17" spans="1:9" ht="15" x14ac:dyDescent="0.25">
      <c r="B17" s="558"/>
      <c r="C17" s="160" t="s">
        <v>61</v>
      </c>
      <c r="E17" s="153">
        <v>5</v>
      </c>
      <c r="F17" s="154">
        <v>45093</v>
      </c>
      <c r="G17" s="176"/>
      <c r="H17" s="840"/>
      <c r="I17" s="841"/>
    </row>
    <row r="18" spans="1:9" ht="15" x14ac:dyDescent="0.25">
      <c r="B18" s="558"/>
      <c r="C18" s="160" t="s">
        <v>62</v>
      </c>
      <c r="E18" s="153">
        <v>6</v>
      </c>
      <c r="F18" s="154">
        <v>45121</v>
      </c>
      <c r="G18" s="176"/>
      <c r="H18" s="840"/>
      <c r="I18" s="841"/>
    </row>
    <row r="19" spans="1:9" ht="15" x14ac:dyDescent="0.25">
      <c r="B19" s="558"/>
      <c r="C19" s="160" t="s">
        <v>63</v>
      </c>
      <c r="E19" s="153">
        <v>7</v>
      </c>
      <c r="F19" s="154">
        <v>45149</v>
      </c>
      <c r="G19" s="176"/>
      <c r="H19" s="840"/>
      <c r="I19" s="841"/>
    </row>
    <row r="20" spans="1:9" ht="15" x14ac:dyDescent="0.25">
      <c r="B20" s="558"/>
      <c r="C20" s="160" t="s">
        <v>64</v>
      </c>
      <c r="E20" s="153">
        <v>8</v>
      </c>
      <c r="F20" s="154">
        <v>45184</v>
      </c>
      <c r="G20" s="176"/>
      <c r="H20" s="840"/>
      <c r="I20" s="841"/>
    </row>
    <row r="21" spans="1:9" ht="15" x14ac:dyDescent="0.25">
      <c r="B21" s="558"/>
      <c r="C21" s="160" t="s">
        <v>65</v>
      </c>
      <c r="E21" s="153">
        <v>9</v>
      </c>
      <c r="F21" s="154">
        <v>45212</v>
      </c>
      <c r="G21" s="176"/>
      <c r="H21" s="840"/>
      <c r="I21" s="841"/>
    </row>
    <row r="22" spans="1:9" ht="15.75" thickBot="1" x14ac:dyDescent="0.3">
      <c r="B22" s="576"/>
      <c r="C22" s="161" t="s">
        <v>66</v>
      </c>
      <c r="E22" s="174">
        <v>0</v>
      </c>
      <c r="F22" s="177">
        <v>45247</v>
      </c>
      <c r="G22" s="176"/>
      <c r="H22" s="842"/>
      <c r="I22" s="843"/>
    </row>
    <row r="23" spans="1:9" s="10" customFormat="1" ht="3.75" customHeight="1" thickTop="1" x14ac:dyDescent="0.25">
      <c r="A23"/>
      <c r="B23"/>
      <c r="C23"/>
      <c r="D23"/>
      <c r="E23"/>
      <c r="F23"/>
      <c r="H23"/>
      <c r="I23"/>
    </row>
    <row r="24" spans="1:9" ht="0" hidden="1" customHeight="1" x14ac:dyDescent="0.25"/>
    <row r="25" spans="1:9" ht="0" hidden="1" customHeight="1" x14ac:dyDescent="0.25"/>
  </sheetData>
  <sheetProtection algorithmName="SHA-512" hashValue="5uI1t9sw6w3pYt2lmhjjYdnSDXlUeIbvNkVXmpg3DAZGuZDABwFKDjp1O0aI8vuVLkoB9XgL/POoxGPU3oGcbQ==" saltValue="YRmZsTnJqiSISER0CAaDnQ==" spinCount="100000" sheet="1" objects="1" scenarios="1"/>
  <protectedRanges>
    <protectedRange algorithmName="SHA-512" hashValue="v5Rs3+vDBh8/aq2QCD5swf8Nk+geBLqScGgYHyPV7roNa84bX1zlY0iYgQvA8CdUpa2w1IIcxdoZzgtdqv6sRw==" saltValue="ylqpLRPbKAOKtOhAKmmk9Q==" spinCount="100000" sqref="E7:F22" name="Impobebidasycomestiblesultraprocesados"/>
  </protectedRanges>
  <mergeCells count="8">
    <mergeCell ref="H11:I22"/>
    <mergeCell ref="B2:C6"/>
    <mergeCell ref="B7:C8"/>
    <mergeCell ref="E7:F9"/>
    <mergeCell ref="B9:C9"/>
    <mergeCell ref="B11:B22"/>
    <mergeCell ref="E11:E12"/>
    <mergeCell ref="F11:F12"/>
  </mergeCells>
  <hyperlinks>
    <hyperlink ref="B11:B22" location="Anual!A1" display="Calendario" xr:uid="{4BAB8FF5-C396-48D0-B760-386036FA7E7F}"/>
    <hyperlink ref="C11" location="Enero!A1" display="Enero" xr:uid="{A35F4E97-97C5-4C0C-BF89-A36C8167FAEA}"/>
    <hyperlink ref="C12" location="Febrero!A1" display="Febrero" xr:uid="{04CBA618-8022-434C-9D63-BF70F01C5D72}"/>
    <hyperlink ref="C13" location="Marzo!A1" display="Marzo" xr:uid="{A5EE718B-F1DF-4653-BDAD-27A574848CB0}"/>
    <hyperlink ref="C14" location="Abril!A1" display="Abril" xr:uid="{CB05FC0A-B9EC-455D-AE61-3EEB5F0BD988}"/>
    <hyperlink ref="C15" location="Mayo!A1" display="Mayo" xr:uid="{DD019F7F-284B-4494-AC2B-601E4870FBC7}"/>
    <hyperlink ref="C16" location="Junio!A1" display="Junio" xr:uid="{F2AC4110-C2C1-4FCD-81AE-98017A221B92}"/>
    <hyperlink ref="C17" location="Julio!A1" display="Julio" xr:uid="{5F51974C-D223-4550-B58B-DE5D127D3404}"/>
    <hyperlink ref="C18" location="Agosto!A1" display="Agosto" xr:uid="{D8734518-6923-45A7-9D10-4BBABD01AD16}"/>
    <hyperlink ref="C19" location="Septiembre!A1" display="Septiembre" xr:uid="{8BA70DEF-B69D-46A3-AFCC-1EBED9D9790E}"/>
    <hyperlink ref="C20" location="Octubre!A1" display="Octubre" xr:uid="{D5771222-A7E9-41FD-9F76-CBB0C281C58E}"/>
    <hyperlink ref="C21" location="Noviembre!A1" display="Noviembre" xr:uid="{AA3ECC48-F314-4332-A68D-62F22B1EE916}"/>
    <hyperlink ref="C22" location="Diciembre!A1" display="Diciembre" xr:uid="{A3F9C84F-6899-43A0-BD74-7D0BAD508D5A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0B179-DEA6-420C-9CD0-17D4DC4660F5}">
  <sheetPr>
    <tabColor theme="3"/>
    <pageSetUpPr fitToPage="1"/>
  </sheetPr>
  <dimension ref="B1:N57"/>
  <sheetViews>
    <sheetView showGridLines="0" zoomScaleNormal="100" workbookViewId="0">
      <selection activeCell="I2" sqref="I2"/>
    </sheetView>
  </sheetViews>
  <sheetFormatPr baseColWidth="10" defaultColWidth="9.140625" defaultRowHeight="12.75" x14ac:dyDescent="0.2"/>
  <cols>
    <col min="1" max="1" width="3.42578125" style="13" customWidth="1"/>
    <col min="2" max="2" width="28.7109375" style="13" customWidth="1"/>
    <col min="3" max="3" width="35.5703125" style="13" customWidth="1"/>
    <col min="4" max="4" width="33" style="13" hidden="1" customWidth="1"/>
    <col min="5" max="5" width="20" style="13" hidden="1" customWidth="1"/>
    <col min="6" max="6" width="13.42578125" style="13" hidden="1" customWidth="1"/>
    <col min="7" max="7" width="12.85546875" style="13" customWidth="1"/>
    <col min="8" max="8" width="3.5703125" style="13" customWidth="1"/>
    <col min="9" max="16384" width="9.140625" style="13"/>
  </cols>
  <sheetData>
    <row r="1" spans="2:14" ht="14.25" customHeight="1" x14ac:dyDescent="0.2">
      <c r="B1" s="13" t="s">
        <v>24</v>
      </c>
      <c r="D1" s="9"/>
    </row>
    <row r="2" spans="2:14" ht="27" thickBot="1" x14ac:dyDescent="0.25">
      <c r="B2" s="56" t="s">
        <v>23</v>
      </c>
      <c r="C2" s="55" t="s">
        <v>32</v>
      </c>
      <c r="D2" s="14"/>
      <c r="E2" s="14"/>
      <c r="F2" s="14"/>
      <c r="G2" s="14"/>
      <c r="H2" s="13" t="s">
        <v>4</v>
      </c>
      <c r="J2" s="9"/>
      <c r="K2" s="9"/>
      <c r="L2" s="9"/>
      <c r="M2" s="9"/>
      <c r="N2" s="9"/>
    </row>
    <row r="3" spans="2:14" ht="13.5" thickTop="1" x14ac:dyDescent="0.2">
      <c r="B3" s="9"/>
      <c r="J3" s="9"/>
      <c r="K3" s="9"/>
      <c r="L3" s="9"/>
      <c r="M3" s="9"/>
      <c r="N3" s="9"/>
    </row>
    <row r="4" spans="2:14" ht="24" customHeight="1" thickBot="1" x14ac:dyDescent="0.25">
      <c r="B4" s="43" t="s">
        <v>5</v>
      </c>
      <c r="C4" s="43" t="s">
        <v>6</v>
      </c>
      <c r="D4" s="43" t="s">
        <v>7</v>
      </c>
      <c r="E4" s="43" t="s">
        <v>8</v>
      </c>
      <c r="F4" s="43" t="s">
        <v>9</v>
      </c>
      <c r="G4" s="43" t="s">
        <v>10</v>
      </c>
      <c r="J4" s="12"/>
      <c r="K4" s="9"/>
      <c r="L4" s="9"/>
      <c r="M4" s="9"/>
      <c r="N4" s="9"/>
    </row>
    <row r="5" spans="2:14" ht="16.5" thickTop="1" x14ac:dyDescent="0.25">
      <c r="B5" s="44" cm="1">
        <f t="array" aca="1" ref="B5:C22" ca="1">+OFFSET(INDIRECT($B$1&amp;ADDRESS(MATCH($C$2,FERIADOS!$A$1:$A$6002,0),1)),0,1,COUNTIF(FERIADOS!$A$1:$A$6002,'Días festivos'!$C$2),2)</f>
        <v>44927</v>
      </c>
      <c r="C5" s="45" t="str">
        <f ca="1"/>
        <v>Año Nuevo</v>
      </c>
      <c r="D5" s="46"/>
      <c r="E5" s="47">
        <v>6</v>
      </c>
      <c r="F5" s="48" t="e">
        <f ca="1">+IF(B5&lt;&gt;"",IF($B5&lt;&gt;"",SUBSTITUTE(TEXT(B5,"06/01/2023"),RIGHT(TEXT(B5,"09/01/2023"),4),CalYear),"")*1,"")</f>
        <v>#VALUE!</v>
      </c>
      <c r="G5" s="45" t="b">
        <v>1</v>
      </c>
    </row>
    <row r="6" spans="2:14" ht="15.75" x14ac:dyDescent="0.25">
      <c r="B6" s="40">
        <f ca="1"/>
        <v>44935</v>
      </c>
      <c r="C6" s="41" t="str">
        <f ca="1"/>
        <v>Reyes Magos</v>
      </c>
      <c r="D6" s="41"/>
      <c r="E6" s="49">
        <v>4</v>
      </c>
      <c r="F6" s="50" t="e">
        <f t="shared" ref="F6:F36" ca="1" si="0">+IF(B6&lt;&gt;"",IF($B6&lt;&gt;"",SUBSTITUTE(TEXT(B6,"dd/mm/aaaa"),RIGHT(TEXT(B6,"dd/mm/aaaa"),4),CalYear),"")*1,"")</f>
        <v>#VALUE!</v>
      </c>
      <c r="G6" s="41" t="b">
        <v>1</v>
      </c>
    </row>
    <row r="7" spans="2:14" ht="15.75" x14ac:dyDescent="0.25">
      <c r="B7" s="40">
        <f ca="1"/>
        <v>45005</v>
      </c>
      <c r="C7" s="41" t="str">
        <f ca="1"/>
        <v>Día de los esposos (San José)</v>
      </c>
      <c r="D7" s="41"/>
      <c r="E7" s="49">
        <v>2</v>
      </c>
      <c r="F7" s="50" t="e">
        <f t="shared" ca="1" si="0"/>
        <v>#VALUE!</v>
      </c>
      <c r="G7" s="41" t="b">
        <v>1</v>
      </c>
    </row>
    <row r="8" spans="2:14" ht="15.75" x14ac:dyDescent="0.25">
      <c r="B8" s="40">
        <f ca="1"/>
        <v>45022</v>
      </c>
      <c r="C8" s="41" t="str">
        <f ca="1"/>
        <v>Jueves Santo</v>
      </c>
      <c r="D8" s="41"/>
      <c r="E8" s="49">
        <v>2</v>
      </c>
      <c r="F8" s="50" t="e">
        <f t="shared" ca="1" si="0"/>
        <v>#VALUE!</v>
      </c>
      <c r="G8" s="41" t="b">
        <v>1</v>
      </c>
    </row>
    <row r="9" spans="2:14" ht="15.75" x14ac:dyDescent="0.25">
      <c r="B9" s="40">
        <f ca="1"/>
        <v>45023</v>
      </c>
      <c r="C9" s="41" t="str">
        <f ca="1"/>
        <v>Viernes Santo</v>
      </c>
      <c r="D9" s="51"/>
      <c r="E9" s="49">
        <v>1</v>
      </c>
      <c r="F9" s="50" t="e">
        <f t="shared" ca="1" si="0"/>
        <v>#VALUE!</v>
      </c>
      <c r="G9" s="41" t="b">
        <v>1</v>
      </c>
    </row>
    <row r="10" spans="2:14" ht="15.75" x14ac:dyDescent="0.25">
      <c r="B10" s="40">
        <f ca="1"/>
        <v>45047</v>
      </c>
      <c r="C10" s="41" t="str">
        <f ca="1"/>
        <v>Día del Trabajo</v>
      </c>
      <c r="D10" s="51"/>
      <c r="E10" s="49">
        <v>2</v>
      </c>
      <c r="F10" s="50" t="e">
        <f t="shared" ca="1" si="0"/>
        <v>#VALUE!</v>
      </c>
      <c r="G10" s="41" t="b">
        <v>1</v>
      </c>
    </row>
    <row r="11" spans="2:14" ht="15.75" x14ac:dyDescent="0.25">
      <c r="B11" s="40">
        <f ca="1"/>
        <v>45068</v>
      </c>
      <c r="C11" s="41" t="str">
        <f ca="1"/>
        <v>Día de la Ascensión</v>
      </c>
      <c r="D11" s="51"/>
      <c r="E11" s="49">
        <v>2</v>
      </c>
      <c r="F11" s="50" t="e">
        <f t="shared" ca="1" si="0"/>
        <v>#VALUE!</v>
      </c>
      <c r="G11" s="41" t="b">
        <v>1</v>
      </c>
    </row>
    <row r="12" spans="2:14" ht="15.75" x14ac:dyDescent="0.25">
      <c r="B12" s="40">
        <f ca="1"/>
        <v>45089</v>
      </c>
      <c r="C12" s="41" t="str">
        <f ca="1"/>
        <v>Corpus Christi</v>
      </c>
      <c r="D12" s="51"/>
      <c r="E12" s="49">
        <v>5</v>
      </c>
      <c r="F12" s="50" t="e">
        <f t="shared" ca="1" si="0"/>
        <v>#VALUE!</v>
      </c>
      <c r="G12" s="41" t="b">
        <v>1</v>
      </c>
    </row>
    <row r="13" spans="2:14" ht="15.75" x14ac:dyDescent="0.25">
      <c r="B13" s="40">
        <f ca="1"/>
        <v>45096</v>
      </c>
      <c r="C13" s="41" t="str">
        <f ca="1"/>
        <v>Sagrado Corazón de Jesús</v>
      </c>
      <c r="D13" s="51"/>
      <c r="E13" s="49">
        <v>5</v>
      </c>
      <c r="F13" s="50" t="e">
        <f t="shared" ca="1" si="0"/>
        <v>#VALUE!</v>
      </c>
      <c r="G13" s="41" t="b">
        <v>1</v>
      </c>
    </row>
    <row r="14" spans="2:14" ht="15.75" x14ac:dyDescent="0.25">
      <c r="B14" s="40">
        <f ca="1"/>
        <v>45110</v>
      </c>
      <c r="C14" s="41" t="str">
        <f ca="1"/>
        <v>San Pedro y San Pablo</v>
      </c>
      <c r="D14" s="51"/>
      <c r="E14" s="49">
        <v>7</v>
      </c>
      <c r="F14" s="50" t="e">
        <f t="shared" ca="1" si="0"/>
        <v>#VALUE!</v>
      </c>
      <c r="G14" s="41" t="b">
        <v>1</v>
      </c>
    </row>
    <row r="15" spans="2:14" ht="15.75" x14ac:dyDescent="0.25">
      <c r="B15" s="40">
        <f ca="1"/>
        <v>45127</v>
      </c>
      <c r="C15" s="41" t="str">
        <f ca="1"/>
        <v>Día de la Independencia</v>
      </c>
      <c r="D15" s="51"/>
      <c r="E15" s="49"/>
      <c r="F15" s="50" t="e">
        <f t="shared" ca="1" si="0"/>
        <v>#VALUE!</v>
      </c>
      <c r="G15" s="41" t="b">
        <v>1</v>
      </c>
    </row>
    <row r="16" spans="2:14" ht="15.75" x14ac:dyDescent="0.25">
      <c r="B16" s="40">
        <f ca="1"/>
        <v>45145</v>
      </c>
      <c r="C16" s="41" t="str">
        <f ca="1"/>
        <v>Batalla de Boyacá</v>
      </c>
      <c r="D16" s="51"/>
      <c r="E16" s="49"/>
      <c r="F16" s="50" t="e">
        <f t="shared" ca="1" si="0"/>
        <v>#VALUE!</v>
      </c>
      <c r="G16" s="41" t="b">
        <v>1</v>
      </c>
    </row>
    <row r="17" spans="2:7" ht="15.75" x14ac:dyDescent="0.25">
      <c r="B17" s="40">
        <f ca="1"/>
        <v>45159</v>
      </c>
      <c r="C17" s="41" t="str">
        <f ca="1"/>
        <v>Asunción de la Virgen</v>
      </c>
      <c r="D17" s="51"/>
      <c r="E17" s="49"/>
      <c r="F17" s="50" t="e">
        <f t="shared" ca="1" si="0"/>
        <v>#VALUE!</v>
      </c>
      <c r="G17" s="41" t="b">
        <v>1</v>
      </c>
    </row>
    <row r="18" spans="2:7" ht="15.75" x14ac:dyDescent="0.25">
      <c r="B18" s="40">
        <f ca="1"/>
        <v>45215</v>
      </c>
      <c r="C18" s="41" t="str">
        <f ca="1"/>
        <v>Día de la raza</v>
      </c>
      <c r="D18" s="51"/>
      <c r="E18" s="49"/>
      <c r="F18" s="50" t="e">
        <f t="shared" ca="1" si="0"/>
        <v>#VALUE!</v>
      </c>
      <c r="G18" s="41" t="b">
        <v>1</v>
      </c>
    </row>
    <row r="19" spans="2:7" ht="15.75" x14ac:dyDescent="0.25">
      <c r="B19" s="40">
        <f ca="1"/>
        <v>45236</v>
      </c>
      <c r="C19" s="41" t="str">
        <f ca="1"/>
        <v>Día de todos los santos</v>
      </c>
      <c r="D19" s="51"/>
      <c r="E19" s="49"/>
      <c r="F19" s="50" t="e">
        <f t="shared" ca="1" si="0"/>
        <v>#VALUE!</v>
      </c>
      <c r="G19" s="41" t="b">
        <v>1</v>
      </c>
    </row>
    <row r="20" spans="2:7" ht="15.75" x14ac:dyDescent="0.25">
      <c r="B20" s="40">
        <f ca="1"/>
        <v>45243</v>
      </c>
      <c r="C20" s="41" t="str">
        <f ca="1"/>
        <v>Independencia de Cartagena</v>
      </c>
      <c r="D20" s="51"/>
      <c r="E20" s="49"/>
      <c r="F20" s="50" t="e">
        <f t="shared" ca="1" si="0"/>
        <v>#VALUE!</v>
      </c>
      <c r="G20" s="41" t="b">
        <v>1</v>
      </c>
    </row>
    <row r="21" spans="2:7" ht="15.75" x14ac:dyDescent="0.25">
      <c r="B21" s="40">
        <f ca="1"/>
        <v>45268</v>
      </c>
      <c r="C21" s="41" t="str">
        <f ca="1"/>
        <v>Día de la Inmaculada Concepción</v>
      </c>
      <c r="D21" s="51"/>
      <c r="E21" s="49"/>
      <c r="F21" s="50" t="e">
        <f t="shared" ca="1" si="0"/>
        <v>#VALUE!</v>
      </c>
      <c r="G21" s="41" t="b">
        <v>1</v>
      </c>
    </row>
    <row r="22" spans="2:7" ht="15.75" x14ac:dyDescent="0.25">
      <c r="B22" s="40">
        <f ca="1"/>
        <v>45285</v>
      </c>
      <c r="C22" s="41" t="str">
        <f ca="1"/>
        <v>Navidad</v>
      </c>
      <c r="D22" s="51"/>
      <c r="E22" s="49"/>
      <c r="F22" s="50" t="e">
        <f t="shared" ca="1" si="0"/>
        <v>#VALUE!</v>
      </c>
      <c r="G22" s="41" t="b">
        <v>1</v>
      </c>
    </row>
    <row r="23" spans="2:7" ht="15.75" x14ac:dyDescent="0.25">
      <c r="B23" s="40"/>
      <c r="C23" s="41"/>
      <c r="D23" s="51"/>
      <c r="E23" s="49"/>
      <c r="F23" s="50" t="str">
        <f t="shared" si="0"/>
        <v/>
      </c>
      <c r="G23" s="41"/>
    </row>
    <row r="24" spans="2:7" ht="15.75" x14ac:dyDescent="0.25">
      <c r="B24" s="40"/>
      <c r="C24" s="41"/>
      <c r="D24" s="51"/>
      <c r="E24" s="49"/>
      <c r="F24" s="50" t="str">
        <f t="shared" si="0"/>
        <v/>
      </c>
      <c r="G24" s="41"/>
    </row>
    <row r="25" spans="2:7" ht="15.75" x14ac:dyDescent="0.25">
      <c r="B25" s="40"/>
      <c r="C25" s="41"/>
      <c r="D25" s="51"/>
      <c r="E25" s="49"/>
      <c r="F25" s="50" t="str">
        <f t="shared" si="0"/>
        <v/>
      </c>
      <c r="G25" s="41"/>
    </row>
    <row r="26" spans="2:7" ht="15.75" x14ac:dyDescent="0.25">
      <c r="B26" s="40"/>
      <c r="C26" s="41"/>
      <c r="D26" s="51"/>
      <c r="E26" s="49"/>
      <c r="F26" s="50" t="str">
        <f t="shared" si="0"/>
        <v/>
      </c>
      <c r="G26" s="41"/>
    </row>
    <row r="27" spans="2:7" ht="15.75" x14ac:dyDescent="0.25">
      <c r="B27" s="40"/>
      <c r="C27" s="41"/>
      <c r="D27" s="51"/>
      <c r="E27" s="49"/>
      <c r="F27" s="50" t="str">
        <f t="shared" si="0"/>
        <v/>
      </c>
      <c r="G27" s="41"/>
    </row>
    <row r="28" spans="2:7" ht="15.75" x14ac:dyDescent="0.25">
      <c r="B28" s="40"/>
      <c r="C28" s="41"/>
      <c r="D28" s="51"/>
      <c r="E28" s="49"/>
      <c r="F28" s="50" t="str">
        <f t="shared" si="0"/>
        <v/>
      </c>
      <c r="G28" s="41"/>
    </row>
    <row r="29" spans="2:7" ht="15.75" x14ac:dyDescent="0.25">
      <c r="B29" s="40"/>
      <c r="C29" s="41"/>
      <c r="D29" s="51"/>
      <c r="E29" s="49"/>
      <c r="F29" s="50" t="str">
        <f t="shared" si="0"/>
        <v/>
      </c>
      <c r="G29" s="41"/>
    </row>
    <row r="30" spans="2:7" ht="15.75" x14ac:dyDescent="0.25">
      <c r="B30" s="40"/>
      <c r="C30" s="41"/>
      <c r="D30" s="51"/>
      <c r="E30" s="49"/>
      <c r="F30" s="50" t="str">
        <f t="shared" si="0"/>
        <v/>
      </c>
      <c r="G30" s="41"/>
    </row>
    <row r="31" spans="2:7" ht="15.75" x14ac:dyDescent="0.25">
      <c r="B31" s="40"/>
      <c r="C31" s="41"/>
      <c r="D31" s="51"/>
      <c r="E31" s="49"/>
      <c r="F31" s="50" t="str">
        <f t="shared" si="0"/>
        <v/>
      </c>
      <c r="G31" s="41"/>
    </row>
    <row r="32" spans="2:7" ht="15.75" x14ac:dyDescent="0.25">
      <c r="B32" s="40"/>
      <c r="C32" s="41"/>
      <c r="D32" s="51"/>
      <c r="E32" s="49"/>
      <c r="F32" s="50" t="str">
        <f t="shared" si="0"/>
        <v/>
      </c>
      <c r="G32" s="41"/>
    </row>
    <row r="33" spans="2:7" ht="15.75" x14ac:dyDescent="0.25">
      <c r="B33" s="40"/>
      <c r="C33" s="41"/>
      <c r="D33" s="51"/>
      <c r="E33" s="49"/>
      <c r="F33" s="50" t="str">
        <f t="shared" si="0"/>
        <v/>
      </c>
      <c r="G33" s="41"/>
    </row>
    <row r="34" spans="2:7" ht="15.75" x14ac:dyDescent="0.25">
      <c r="B34" s="40"/>
      <c r="C34" s="41"/>
      <c r="D34" s="51"/>
      <c r="E34" s="49"/>
      <c r="F34" s="50" t="str">
        <f t="shared" si="0"/>
        <v/>
      </c>
      <c r="G34" s="41"/>
    </row>
    <row r="35" spans="2:7" ht="15.75" x14ac:dyDescent="0.25">
      <c r="B35" s="40"/>
      <c r="C35" s="41"/>
      <c r="D35" s="51"/>
      <c r="E35" s="49"/>
      <c r="F35" s="50" t="str">
        <f t="shared" si="0"/>
        <v/>
      </c>
      <c r="G35" s="41"/>
    </row>
    <row r="36" spans="2:7" ht="15.75" x14ac:dyDescent="0.25">
      <c r="B36" s="40"/>
      <c r="C36" s="41"/>
      <c r="D36" s="51"/>
      <c r="E36" s="49"/>
      <c r="F36" s="50" t="str">
        <f t="shared" si="0"/>
        <v/>
      </c>
      <c r="G36" s="41"/>
    </row>
    <row r="37" spans="2:7" ht="15.75" x14ac:dyDescent="0.25">
      <c r="B37" s="40"/>
      <c r="C37" s="41"/>
      <c r="D37" s="51"/>
      <c r="E37" s="49"/>
      <c r="F37" s="50" t="str">
        <f t="shared" ref="F37:F57" si="1">+IF(B37&lt;&gt;"",IF($B37&lt;&gt;"",SUBSTITUTE(TEXT(B37,"dd/mm/aaaa"),RIGHT(TEXT(B37,"dd/mm/aaaa"),4),CalYear),"")*1,"")</f>
        <v/>
      </c>
      <c r="G37" s="41"/>
    </row>
    <row r="38" spans="2:7" ht="15.75" x14ac:dyDescent="0.25">
      <c r="B38" s="40"/>
      <c r="C38" s="41"/>
      <c r="D38" s="51"/>
      <c r="E38" s="49"/>
      <c r="F38" s="50" t="str">
        <f t="shared" si="1"/>
        <v/>
      </c>
      <c r="G38" s="41"/>
    </row>
    <row r="39" spans="2:7" ht="15.75" x14ac:dyDescent="0.25">
      <c r="F39" s="50" t="str">
        <f t="shared" si="1"/>
        <v/>
      </c>
      <c r="G39" s="41"/>
    </row>
    <row r="40" spans="2:7" ht="15.75" x14ac:dyDescent="0.25">
      <c r="F40" s="50" t="str">
        <f t="shared" si="1"/>
        <v/>
      </c>
      <c r="G40" s="41"/>
    </row>
    <row r="41" spans="2:7" ht="15.75" x14ac:dyDescent="0.25">
      <c r="F41" s="50" t="str">
        <f t="shared" si="1"/>
        <v/>
      </c>
      <c r="G41" s="41"/>
    </row>
    <row r="42" spans="2:7" ht="15.75" x14ac:dyDescent="0.25">
      <c r="F42" s="50" t="str">
        <f t="shared" si="1"/>
        <v/>
      </c>
      <c r="G42" s="41"/>
    </row>
    <row r="43" spans="2:7" ht="15.75" x14ac:dyDescent="0.25">
      <c r="F43" s="50" t="str">
        <f t="shared" si="1"/>
        <v/>
      </c>
      <c r="G43" s="41"/>
    </row>
    <row r="44" spans="2:7" ht="15.75" x14ac:dyDescent="0.25">
      <c r="F44" s="50" t="str">
        <f t="shared" si="1"/>
        <v/>
      </c>
      <c r="G44" s="41"/>
    </row>
    <row r="45" spans="2:7" ht="15.75" x14ac:dyDescent="0.25">
      <c r="F45" s="50" t="str">
        <f t="shared" si="1"/>
        <v/>
      </c>
      <c r="G45" s="41"/>
    </row>
    <row r="46" spans="2:7" ht="15.75" x14ac:dyDescent="0.25">
      <c r="F46" s="50" t="str">
        <f t="shared" si="1"/>
        <v/>
      </c>
      <c r="G46" s="41"/>
    </row>
    <row r="47" spans="2:7" ht="15.75" x14ac:dyDescent="0.25">
      <c r="F47" s="50" t="str">
        <f t="shared" si="1"/>
        <v/>
      </c>
      <c r="G47" s="41"/>
    </row>
    <row r="48" spans="2:7" ht="15.75" x14ac:dyDescent="0.25">
      <c r="F48" s="50" t="str">
        <f t="shared" si="1"/>
        <v/>
      </c>
      <c r="G48" s="41"/>
    </row>
    <row r="49" spans="6:7" ht="15.75" x14ac:dyDescent="0.25">
      <c r="F49" s="50" t="str">
        <f t="shared" si="1"/>
        <v/>
      </c>
      <c r="G49" s="41"/>
    </row>
    <row r="50" spans="6:7" ht="15.75" x14ac:dyDescent="0.25">
      <c r="F50" s="50" t="str">
        <f t="shared" si="1"/>
        <v/>
      </c>
      <c r="G50" s="41"/>
    </row>
    <row r="51" spans="6:7" ht="15.75" x14ac:dyDescent="0.25">
      <c r="F51" s="50" t="str">
        <f t="shared" si="1"/>
        <v/>
      </c>
      <c r="G51" s="41"/>
    </row>
    <row r="52" spans="6:7" ht="15.75" x14ac:dyDescent="0.25">
      <c r="F52" s="50" t="str">
        <f t="shared" si="1"/>
        <v/>
      </c>
      <c r="G52" s="41"/>
    </row>
    <row r="53" spans="6:7" ht="15.75" x14ac:dyDescent="0.25">
      <c r="F53" s="50" t="str">
        <f t="shared" si="1"/>
        <v/>
      </c>
      <c r="G53" s="41"/>
    </row>
    <row r="54" spans="6:7" ht="15.75" x14ac:dyDescent="0.25">
      <c r="F54" s="50" t="str">
        <f t="shared" si="1"/>
        <v/>
      </c>
      <c r="G54" s="41"/>
    </row>
    <row r="55" spans="6:7" ht="15.75" x14ac:dyDescent="0.25">
      <c r="F55" s="50" t="str">
        <f t="shared" si="1"/>
        <v/>
      </c>
      <c r="G55" s="41"/>
    </row>
    <row r="56" spans="6:7" ht="15.75" x14ac:dyDescent="0.25">
      <c r="F56" s="50" t="str">
        <f t="shared" si="1"/>
        <v/>
      </c>
      <c r="G56" s="41"/>
    </row>
    <row r="57" spans="6:7" ht="15.75" x14ac:dyDescent="0.25">
      <c r="F57" s="50" t="str">
        <f t="shared" si="1"/>
        <v/>
      </c>
      <c r="G57" s="41"/>
    </row>
  </sheetData>
  <dataValidations count="1">
    <dataValidation type="list" allowBlank="1" showInputMessage="1" showErrorMessage="1" sqref="G5:G57" xr:uid="{0DED8996-FBE0-4A18-B6F4-DCE5450CEB12}">
      <formula1>"VERDADERO, FALSO"</formula1>
    </dataValidation>
  </dataValidations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73972-71A3-4498-967B-C31503202C67}">
  <dimension ref="A1:M42"/>
  <sheetViews>
    <sheetView showGridLines="0" showRowColHeaders="0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style="10" customWidth="1"/>
    <col min="8" max="8" width="13.7109375" customWidth="1"/>
    <col min="9" max="9" width="23.28515625" bestFit="1" customWidth="1"/>
    <col min="10" max="10" width="0.85546875" customWidth="1"/>
    <col min="11" max="11" width="13.7109375" customWidth="1"/>
    <col min="12" max="12" width="20.7109375" customWidth="1"/>
    <col min="13" max="13" width="0.85546875" customWidth="1"/>
    <col min="14" max="16384" width="11.42578125" hidden="1"/>
  </cols>
  <sheetData>
    <row r="1" spans="2:12" ht="28.5" customHeight="1" x14ac:dyDescent="0.25"/>
    <row r="2" spans="2:12" ht="15" customHeight="1" x14ac:dyDescent="0.25">
      <c r="B2" s="546"/>
      <c r="C2" s="546"/>
    </row>
    <row r="3" spans="2:12" ht="15.75" x14ac:dyDescent="0.25">
      <c r="B3" s="546"/>
      <c r="C3" s="546"/>
      <c r="E3" s="562" t="s">
        <v>212</v>
      </c>
      <c r="F3" s="562"/>
      <c r="G3" s="562"/>
      <c r="H3" s="562"/>
      <c r="I3" s="562"/>
      <c r="J3" s="562"/>
      <c r="K3" s="562"/>
      <c r="L3" s="562"/>
    </row>
    <row r="4" spans="2:12" x14ac:dyDescent="0.25">
      <c r="B4" s="546"/>
      <c r="C4" s="546"/>
    </row>
    <row r="5" spans="2:12" ht="15.75" customHeight="1" x14ac:dyDescent="0.25">
      <c r="B5" s="546"/>
      <c r="C5" s="546"/>
      <c r="E5" s="147" t="s">
        <v>213</v>
      </c>
      <c r="F5" s="147"/>
      <c r="G5" s="147"/>
      <c r="H5" s="147"/>
      <c r="I5" s="147"/>
      <c r="J5" s="147"/>
      <c r="K5" s="147"/>
      <c r="L5" s="147"/>
    </row>
    <row r="6" spans="2:12" x14ac:dyDescent="0.25">
      <c r="B6" s="546"/>
      <c r="C6" s="546"/>
    </row>
    <row r="7" spans="2:12" ht="15" customHeight="1" x14ac:dyDescent="0.25">
      <c r="B7" s="563" t="s">
        <v>47</v>
      </c>
      <c r="C7" s="563"/>
      <c r="E7" s="564" t="s">
        <v>176</v>
      </c>
      <c r="F7" s="565"/>
      <c r="G7" s="149"/>
      <c r="H7" s="564" t="s">
        <v>177</v>
      </c>
      <c r="I7" s="565"/>
      <c r="J7" s="150"/>
      <c r="K7" s="564" t="s">
        <v>178</v>
      </c>
      <c r="L7" s="565"/>
    </row>
    <row r="8" spans="2:12" x14ac:dyDescent="0.25">
      <c r="B8" s="563"/>
      <c r="C8" s="563"/>
      <c r="E8" s="566"/>
      <c r="F8" s="567"/>
      <c r="G8" s="149"/>
      <c r="H8" s="566"/>
      <c r="I8" s="567"/>
      <c r="J8" s="150"/>
      <c r="K8" s="566"/>
      <c r="L8" s="567"/>
    </row>
    <row r="9" spans="2:12" x14ac:dyDescent="0.25">
      <c r="B9" s="555" t="s">
        <v>67</v>
      </c>
      <c r="C9" s="556"/>
      <c r="E9" s="568"/>
      <c r="F9" s="569"/>
      <c r="G9" s="149"/>
      <c r="H9" s="568"/>
      <c r="I9" s="569"/>
      <c r="J9" s="150"/>
      <c r="K9" s="568"/>
      <c r="L9" s="569"/>
    </row>
    <row r="10" spans="2:12" x14ac:dyDescent="0.25">
      <c r="B10" s="173"/>
      <c r="C10" s="172" t="s">
        <v>51</v>
      </c>
    </row>
    <row r="11" spans="2:12" ht="15" customHeight="1" x14ac:dyDescent="0.25">
      <c r="B11" s="557" t="s">
        <v>52</v>
      </c>
      <c r="C11" s="159" t="s">
        <v>53</v>
      </c>
      <c r="E11" s="559" t="s">
        <v>54</v>
      </c>
      <c r="F11" s="549" t="s">
        <v>55</v>
      </c>
      <c r="G11" s="149"/>
      <c r="H11" s="559" t="s">
        <v>54</v>
      </c>
      <c r="I11" s="549" t="s">
        <v>55</v>
      </c>
      <c r="J11" s="150"/>
      <c r="K11" s="559" t="s">
        <v>54</v>
      </c>
      <c r="L11" s="549" t="s">
        <v>55</v>
      </c>
    </row>
    <row r="12" spans="2:12" x14ac:dyDescent="0.25">
      <c r="B12" s="558"/>
      <c r="C12" s="160" t="s">
        <v>56</v>
      </c>
      <c r="E12" s="560"/>
      <c r="F12" s="550"/>
      <c r="G12" s="149"/>
      <c r="H12" s="560"/>
      <c r="I12" s="550"/>
      <c r="J12" s="150"/>
      <c r="K12" s="560"/>
      <c r="L12" s="550"/>
    </row>
    <row r="13" spans="2:12" x14ac:dyDescent="0.25">
      <c r="B13" s="558"/>
      <c r="C13" s="160" t="s">
        <v>57</v>
      </c>
      <c r="E13" s="151">
        <v>1</v>
      </c>
      <c r="F13" s="152">
        <v>44992</v>
      </c>
      <c r="H13" s="151">
        <v>1</v>
      </c>
      <c r="I13" s="152">
        <v>45055</v>
      </c>
      <c r="K13" s="151">
        <v>1</v>
      </c>
      <c r="L13" s="152">
        <v>45114</v>
      </c>
    </row>
    <row r="14" spans="2:12" x14ac:dyDescent="0.25">
      <c r="B14" s="558"/>
      <c r="C14" s="160" t="s">
        <v>58</v>
      </c>
      <c r="E14" s="153">
        <v>2</v>
      </c>
      <c r="F14" s="154">
        <v>44993</v>
      </c>
      <c r="H14" s="153">
        <v>2</v>
      </c>
      <c r="I14" s="154">
        <v>45056</v>
      </c>
      <c r="K14" s="153">
        <v>2</v>
      </c>
      <c r="L14" s="154">
        <v>45117</v>
      </c>
    </row>
    <row r="15" spans="2:12" x14ac:dyDescent="0.25">
      <c r="B15" s="558"/>
      <c r="C15" s="160" t="s">
        <v>59</v>
      </c>
      <c r="E15" s="153">
        <v>3</v>
      </c>
      <c r="F15" s="154">
        <v>44994</v>
      </c>
      <c r="H15" s="153">
        <v>3</v>
      </c>
      <c r="I15" s="154">
        <v>45057</v>
      </c>
      <c r="K15" s="153">
        <v>3</v>
      </c>
      <c r="L15" s="154">
        <v>45118</v>
      </c>
    </row>
    <row r="16" spans="2:12" x14ac:dyDescent="0.25">
      <c r="B16" s="558"/>
      <c r="C16" s="160" t="s">
        <v>60</v>
      </c>
      <c r="E16" s="153">
        <v>4</v>
      </c>
      <c r="F16" s="154">
        <v>44995</v>
      </c>
      <c r="H16" s="153">
        <v>4</v>
      </c>
      <c r="I16" s="154">
        <v>45058</v>
      </c>
      <c r="K16" s="153">
        <v>4</v>
      </c>
      <c r="L16" s="154">
        <v>45119</v>
      </c>
    </row>
    <row r="17" spans="2:12" x14ac:dyDescent="0.25">
      <c r="B17" s="558"/>
      <c r="C17" s="160" t="s">
        <v>61</v>
      </c>
      <c r="E17" s="153">
        <v>5</v>
      </c>
      <c r="F17" s="154">
        <v>44998</v>
      </c>
      <c r="H17" s="153">
        <v>5</v>
      </c>
      <c r="I17" s="154">
        <v>45061</v>
      </c>
      <c r="K17" s="153">
        <v>5</v>
      </c>
      <c r="L17" s="154">
        <v>45120</v>
      </c>
    </row>
    <row r="18" spans="2:12" x14ac:dyDescent="0.25">
      <c r="B18" s="558"/>
      <c r="C18" s="160" t="s">
        <v>62</v>
      </c>
      <c r="E18" s="153">
        <v>6</v>
      </c>
      <c r="F18" s="154">
        <v>44999</v>
      </c>
      <c r="H18" s="153">
        <v>6</v>
      </c>
      <c r="I18" s="154">
        <v>45062</v>
      </c>
      <c r="K18" s="153">
        <v>6</v>
      </c>
      <c r="L18" s="154">
        <v>45121</v>
      </c>
    </row>
    <row r="19" spans="2:12" x14ac:dyDescent="0.25">
      <c r="B19" s="558"/>
      <c r="C19" s="160" t="s">
        <v>63</v>
      </c>
      <c r="E19" s="153">
        <v>7</v>
      </c>
      <c r="F19" s="154">
        <v>45000</v>
      </c>
      <c r="H19" s="153">
        <v>7</v>
      </c>
      <c r="I19" s="154">
        <v>45063</v>
      </c>
      <c r="K19" s="153">
        <v>7</v>
      </c>
      <c r="L19" s="154">
        <v>45124</v>
      </c>
    </row>
    <row r="20" spans="2:12" x14ac:dyDescent="0.25">
      <c r="B20" s="558"/>
      <c r="C20" s="160" t="s">
        <v>64</v>
      </c>
      <c r="E20" s="153">
        <v>8</v>
      </c>
      <c r="F20" s="154">
        <v>45001</v>
      </c>
      <c r="H20" s="153">
        <v>8</v>
      </c>
      <c r="I20" s="154">
        <v>45064</v>
      </c>
      <c r="K20" s="153">
        <v>8</v>
      </c>
      <c r="L20" s="154">
        <v>45125</v>
      </c>
    </row>
    <row r="21" spans="2:12" x14ac:dyDescent="0.25">
      <c r="B21" s="558"/>
      <c r="C21" s="160" t="s">
        <v>65</v>
      </c>
      <c r="E21" s="153">
        <v>9</v>
      </c>
      <c r="F21" s="154">
        <v>45002</v>
      </c>
      <c r="H21" s="153">
        <v>9</v>
      </c>
      <c r="I21" s="154">
        <v>45065</v>
      </c>
      <c r="K21" s="153">
        <v>9</v>
      </c>
      <c r="L21" s="154">
        <v>45126</v>
      </c>
    </row>
    <row r="22" spans="2:12" x14ac:dyDescent="0.25">
      <c r="B22" s="576"/>
      <c r="C22" s="161" t="s">
        <v>66</v>
      </c>
      <c r="E22" s="155">
        <v>0</v>
      </c>
      <c r="F22" s="156">
        <v>45006</v>
      </c>
      <c r="G22" s="157"/>
      <c r="H22" s="155">
        <v>0</v>
      </c>
      <c r="I22" s="156">
        <v>45069</v>
      </c>
      <c r="J22" s="158"/>
      <c r="K22" s="155">
        <v>0</v>
      </c>
      <c r="L22" s="156">
        <v>45128</v>
      </c>
    </row>
    <row r="23" spans="2:12" ht="3" customHeight="1" x14ac:dyDescent="0.25"/>
    <row r="24" spans="2:12" ht="10.5" customHeight="1" x14ac:dyDescent="0.25"/>
    <row r="25" spans="2:12" ht="15" customHeight="1" x14ac:dyDescent="0.25">
      <c r="B25" s="546"/>
      <c r="C25" s="546"/>
      <c r="E25" s="564" t="s">
        <v>179</v>
      </c>
      <c r="F25" s="565"/>
      <c r="G25" s="149"/>
      <c r="H25" s="564" t="s">
        <v>180</v>
      </c>
      <c r="I25" s="565"/>
      <c r="J25" s="150"/>
      <c r="K25" s="564" t="s">
        <v>181</v>
      </c>
      <c r="L25" s="565"/>
    </row>
    <row r="26" spans="2:12" ht="15" customHeight="1" x14ac:dyDescent="0.25">
      <c r="B26" s="546"/>
      <c r="C26" s="546"/>
      <c r="E26" s="566"/>
      <c r="F26" s="567"/>
      <c r="G26" s="149"/>
      <c r="H26" s="566"/>
      <c r="I26" s="567"/>
      <c r="J26" s="150"/>
      <c r="K26" s="566"/>
      <c r="L26" s="567"/>
    </row>
    <row r="27" spans="2:12" ht="15" customHeight="1" x14ac:dyDescent="0.25">
      <c r="B27" s="546"/>
      <c r="C27" s="546"/>
      <c r="E27" s="568"/>
      <c r="F27" s="569"/>
      <c r="G27" s="149"/>
      <c r="H27" s="568"/>
      <c r="I27" s="569"/>
      <c r="J27" s="150"/>
      <c r="K27" s="568"/>
      <c r="L27" s="569"/>
    </row>
    <row r="28" spans="2:12" ht="15" customHeight="1" x14ac:dyDescent="0.25">
      <c r="B28" s="546"/>
      <c r="C28" s="546"/>
    </row>
    <row r="29" spans="2:12" ht="15" customHeight="1" x14ac:dyDescent="0.25">
      <c r="B29" s="546"/>
      <c r="C29" s="546"/>
      <c r="E29" s="559" t="s">
        <v>54</v>
      </c>
      <c r="F29" s="549" t="s">
        <v>55</v>
      </c>
      <c r="G29" s="149"/>
      <c r="H29" s="559" t="s">
        <v>54</v>
      </c>
      <c r="I29" s="549" t="s">
        <v>55</v>
      </c>
      <c r="J29" s="150"/>
      <c r="K29" s="559" t="s">
        <v>54</v>
      </c>
      <c r="L29" s="549" t="s">
        <v>55</v>
      </c>
    </row>
    <row r="30" spans="2:12" ht="15" customHeight="1" x14ac:dyDescent="0.25">
      <c r="B30" s="546"/>
      <c r="C30" s="546"/>
      <c r="E30" s="560"/>
      <c r="F30" s="550"/>
      <c r="G30" s="149"/>
      <c r="H30" s="560"/>
      <c r="I30" s="550"/>
      <c r="J30" s="150"/>
      <c r="K30" s="560"/>
      <c r="L30" s="550"/>
    </row>
    <row r="31" spans="2:12" ht="15" customHeight="1" x14ac:dyDescent="0.25">
      <c r="B31" s="546"/>
      <c r="C31" s="546"/>
      <c r="E31" s="151">
        <v>1</v>
      </c>
      <c r="F31" s="152">
        <v>45176</v>
      </c>
      <c r="H31" s="151">
        <v>1</v>
      </c>
      <c r="I31" s="152">
        <v>45238</v>
      </c>
      <c r="K31" s="151">
        <v>1</v>
      </c>
      <c r="L31" s="152">
        <v>45301</v>
      </c>
    </row>
    <row r="32" spans="2:12" ht="15" customHeight="1" x14ac:dyDescent="0.25">
      <c r="B32" s="546"/>
      <c r="C32" s="546"/>
      <c r="E32" s="153">
        <v>2</v>
      </c>
      <c r="F32" s="154">
        <v>45177</v>
      </c>
      <c r="H32" s="153">
        <v>2</v>
      </c>
      <c r="I32" s="154">
        <v>45239</v>
      </c>
      <c r="K32" s="153">
        <v>2</v>
      </c>
      <c r="L32" s="154">
        <v>45302</v>
      </c>
    </row>
    <row r="33" spans="2:12" ht="15" customHeight="1" x14ac:dyDescent="0.25">
      <c r="B33" s="546"/>
      <c r="C33" s="546"/>
      <c r="E33" s="153">
        <v>3</v>
      </c>
      <c r="F33" s="154">
        <v>45180</v>
      </c>
      <c r="H33" s="153">
        <v>3</v>
      </c>
      <c r="I33" s="154">
        <v>45240</v>
      </c>
      <c r="K33" s="153">
        <v>3</v>
      </c>
      <c r="L33" s="154">
        <v>45303</v>
      </c>
    </row>
    <row r="34" spans="2:12" ht="15" customHeight="1" x14ac:dyDescent="0.25">
      <c r="B34" s="546"/>
      <c r="C34" s="546"/>
      <c r="E34" s="153">
        <v>4</v>
      </c>
      <c r="F34" s="154">
        <v>45181</v>
      </c>
      <c r="H34" s="153">
        <v>4</v>
      </c>
      <c r="I34" s="154">
        <v>45244</v>
      </c>
      <c r="K34" s="153">
        <v>4</v>
      </c>
      <c r="L34" s="154">
        <v>45306</v>
      </c>
    </row>
    <row r="35" spans="2:12" ht="15" customHeight="1" x14ac:dyDescent="0.25">
      <c r="B35" s="546"/>
      <c r="C35" s="546"/>
      <c r="E35" s="153">
        <v>5</v>
      </c>
      <c r="F35" s="154">
        <v>45182</v>
      </c>
      <c r="H35" s="153">
        <v>5</v>
      </c>
      <c r="I35" s="154">
        <v>45245</v>
      </c>
      <c r="K35" s="153">
        <v>5</v>
      </c>
      <c r="L35" s="154">
        <v>45307</v>
      </c>
    </row>
    <row r="36" spans="2:12" ht="15" customHeight="1" x14ac:dyDescent="0.25">
      <c r="B36" s="546"/>
      <c r="C36" s="546"/>
      <c r="E36" s="153">
        <v>6</v>
      </c>
      <c r="F36" s="154">
        <v>45183</v>
      </c>
      <c r="H36" s="153">
        <v>6</v>
      </c>
      <c r="I36" s="154">
        <v>45246</v>
      </c>
      <c r="K36" s="153">
        <v>6</v>
      </c>
      <c r="L36" s="154">
        <v>45308</v>
      </c>
    </row>
    <row r="37" spans="2:12" ht="15" customHeight="1" x14ac:dyDescent="0.25">
      <c r="B37" s="546"/>
      <c r="C37" s="546"/>
      <c r="E37" s="153">
        <v>7</v>
      </c>
      <c r="F37" s="154">
        <v>45184</v>
      </c>
      <c r="H37" s="153">
        <v>7</v>
      </c>
      <c r="I37" s="154">
        <v>45247</v>
      </c>
      <c r="K37" s="153">
        <v>7</v>
      </c>
      <c r="L37" s="154">
        <v>45309</v>
      </c>
    </row>
    <row r="38" spans="2:12" ht="15" customHeight="1" x14ac:dyDescent="0.25">
      <c r="B38" s="546"/>
      <c r="C38" s="546"/>
      <c r="E38" s="153">
        <v>8</v>
      </c>
      <c r="F38" s="154">
        <v>45187</v>
      </c>
      <c r="H38" s="153">
        <v>8</v>
      </c>
      <c r="I38" s="154">
        <v>45250</v>
      </c>
      <c r="K38" s="153">
        <v>8</v>
      </c>
      <c r="L38" s="154">
        <v>45310</v>
      </c>
    </row>
    <row r="39" spans="2:12" ht="15" customHeight="1" x14ac:dyDescent="0.25">
      <c r="B39" s="546"/>
      <c r="C39" s="546"/>
      <c r="E39" s="153">
        <v>9</v>
      </c>
      <c r="F39" s="154">
        <v>45188</v>
      </c>
      <c r="H39" s="153">
        <v>9</v>
      </c>
      <c r="I39" s="154">
        <v>45251</v>
      </c>
      <c r="K39" s="153">
        <v>9</v>
      </c>
      <c r="L39" s="154">
        <v>45313</v>
      </c>
    </row>
    <row r="40" spans="2:12" ht="15" customHeight="1" x14ac:dyDescent="0.25">
      <c r="B40" s="546"/>
      <c r="C40" s="546"/>
      <c r="E40" s="155">
        <v>0</v>
      </c>
      <c r="F40" s="156">
        <v>45189</v>
      </c>
      <c r="G40" s="157"/>
      <c r="H40" s="155">
        <v>0</v>
      </c>
      <c r="I40" s="156">
        <v>45252</v>
      </c>
      <c r="J40" s="158"/>
      <c r="K40" s="155">
        <v>0</v>
      </c>
      <c r="L40" s="156">
        <v>45314</v>
      </c>
    </row>
    <row r="41" spans="2:12" ht="3" customHeight="1" x14ac:dyDescent="0.25"/>
    <row r="42" spans="2:12" ht="3" customHeight="1" x14ac:dyDescent="0.25"/>
  </sheetData>
  <sheetProtection algorithmName="SHA-512" hashValue="yXNBa2gmS92TndkKr6xBbemYFi5rw9Dcfd6PkfzA7XhMzIiuOMfp8l8yIRHiCw+g5a0NxIi0v5u/l10FLkOy/A==" saltValue="+HmkgGrgzAgrL9Rrk07lIQ==" spinCount="100000" sheet="1" objects="1" scenarios="1"/>
  <protectedRanges>
    <protectedRange algorithmName="SHA-512" hashValue="naYTqYocMOJJdWqF6KYZtqblKnM0lMgSCsOOpnz0NW96bKieyhyK0TAaCmssoxt+mWhpBlTW94P2g/JBDrKoXg==" saltValue="3M52CStvluHhEsU3SGzx0w==" spinCount="100000" sqref="E7:L1048576" name="Impoconsumo"/>
  </protectedRanges>
  <mergeCells count="24">
    <mergeCell ref="I11:I12"/>
    <mergeCell ref="B2:C6"/>
    <mergeCell ref="E3:L3"/>
    <mergeCell ref="B7:C8"/>
    <mergeCell ref="E7:F9"/>
    <mergeCell ref="H7:I9"/>
    <mergeCell ref="K7:L9"/>
    <mergeCell ref="B9:C9"/>
    <mergeCell ref="B25:C40"/>
    <mergeCell ref="L11:L12"/>
    <mergeCell ref="E25:F27"/>
    <mergeCell ref="H25:I27"/>
    <mergeCell ref="K25:L27"/>
    <mergeCell ref="E29:E30"/>
    <mergeCell ref="F29:F30"/>
    <mergeCell ref="H29:H30"/>
    <mergeCell ref="I29:I30"/>
    <mergeCell ref="K29:K30"/>
    <mergeCell ref="L29:L30"/>
    <mergeCell ref="K11:K12"/>
    <mergeCell ref="B11:B22"/>
    <mergeCell ref="E11:E12"/>
    <mergeCell ref="F11:F12"/>
    <mergeCell ref="H11:H12"/>
  </mergeCells>
  <hyperlinks>
    <hyperlink ref="B11:B22" location="Anual!A1" display="Calendario" xr:uid="{71C8C4D3-D697-4DB5-9E31-D6CE31765703}"/>
    <hyperlink ref="C11" location="Enero!A1" display="Enero" xr:uid="{B4EF329C-7C56-494E-B423-95F1FF721DF3}"/>
    <hyperlink ref="C12" location="Febrero!A1" display="Febrero" xr:uid="{852C5D57-44D5-431F-A1B6-9A68A4168B62}"/>
    <hyperlink ref="C13" location="Marzo!A1" display="Marzo" xr:uid="{32BC82C0-30C0-4F14-BB3D-59D9A57EE70D}"/>
    <hyperlink ref="C14" location="Abril!A1" display="Abril" xr:uid="{D0908FCD-BCEF-42DB-91D8-1DFA018AFDC9}"/>
    <hyperlink ref="C15" location="Mayo!A1" display="Mayo" xr:uid="{E21E1840-ADB8-4C98-B6E6-0822DEC93AC8}"/>
    <hyperlink ref="C16" location="Junio!A1" display="Junio" xr:uid="{B8244724-EEC9-449E-862C-846BBCF20DB5}"/>
    <hyperlink ref="C17" location="Julio!A1" display="Julio" xr:uid="{616DFB70-1BF8-4658-9485-06BAA360DB27}"/>
    <hyperlink ref="C18" location="Agosto!A1" display="Agosto" xr:uid="{4CDB15F1-AFAA-4038-B12D-C56A40F1075F}"/>
    <hyperlink ref="C19" location="Septiembre!A1" display="Septiembre" xr:uid="{7122D6B0-3041-4921-A59D-A407E73E3B92}"/>
    <hyperlink ref="C20" location="Octubre!A1" display="Octubre" xr:uid="{68CBE304-0844-49EE-BCC5-A550A19F315E}"/>
    <hyperlink ref="C21" location="Noviembre!A1" display="Noviembre" xr:uid="{9DA1BEF7-0A13-4D5B-830B-895D13B21ABA}"/>
    <hyperlink ref="C22" location="Diciembre!A1" display="Diciembre" xr:uid="{C3F75FD5-9F83-4FEA-BE57-F456B93BA140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B79D8-5793-4217-B03E-87844F416A7E}">
  <dimension ref="A1:V41"/>
  <sheetViews>
    <sheetView showGridLines="0" showRowColHeaders="0" workbookViewId="0">
      <selection activeCell="B10" sqref="B10:C10"/>
    </sheetView>
  </sheetViews>
  <sheetFormatPr baseColWidth="10" defaultColWidth="0" defaultRowHeight="0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style="10" customWidth="1"/>
    <col min="8" max="8" width="13.7109375" customWidth="1"/>
    <col min="9" max="9" width="25" customWidth="1"/>
    <col min="10" max="10" width="0.85546875" customWidth="1"/>
    <col min="11" max="11" width="13.7109375" customWidth="1"/>
    <col min="12" max="12" width="20.7109375" customWidth="1"/>
    <col min="13" max="13" width="0.85546875" customWidth="1"/>
    <col min="14" max="14" width="13.7109375" customWidth="1"/>
    <col min="15" max="15" width="23.28515625" customWidth="1"/>
    <col min="16" max="16" width="0.85546875" customWidth="1"/>
    <col min="17" max="17" width="13.7109375" customWidth="1"/>
    <col min="18" max="18" width="24.140625" customWidth="1"/>
    <col min="19" max="19" width="0.85546875" customWidth="1"/>
    <col min="20" max="20" width="13.7109375" customWidth="1"/>
    <col min="21" max="21" width="23.28515625" customWidth="1"/>
    <col min="22" max="22" width="0.7109375" customWidth="1"/>
    <col min="23" max="16384" width="11.42578125" hidden="1"/>
  </cols>
  <sheetData>
    <row r="1" spans="2:21" ht="26.25" customHeight="1" x14ac:dyDescent="0.25"/>
    <row r="2" spans="2:21" ht="27.75" customHeight="1" x14ac:dyDescent="0.25">
      <c r="B2" s="546"/>
      <c r="C2" s="546"/>
    </row>
    <row r="3" spans="2:21" ht="15.75" hidden="1" x14ac:dyDescent="0.25">
      <c r="B3" s="546"/>
      <c r="C3" s="546"/>
      <c r="E3" s="188" t="s">
        <v>214</v>
      </c>
      <c r="F3" s="188"/>
      <c r="G3" s="188"/>
      <c r="H3" s="188"/>
      <c r="I3" s="188"/>
      <c r="J3" s="188"/>
      <c r="K3" s="188"/>
      <c r="L3" s="188"/>
      <c r="M3" s="192"/>
      <c r="N3" s="192"/>
      <c r="O3" s="192"/>
      <c r="P3" s="192"/>
      <c r="Q3" s="192"/>
      <c r="R3" s="192"/>
      <c r="S3" s="192"/>
      <c r="T3" s="192"/>
      <c r="U3" s="192"/>
    </row>
    <row r="4" spans="2:21" ht="15" hidden="1" x14ac:dyDescent="0.25">
      <c r="B4" s="546"/>
      <c r="C4" s="546"/>
    </row>
    <row r="5" spans="2:21" ht="15.75" customHeight="1" x14ac:dyDescent="0.25">
      <c r="B5" s="546"/>
      <c r="C5" s="546"/>
      <c r="E5" s="147" t="s">
        <v>746</v>
      </c>
      <c r="F5" s="147"/>
      <c r="G5" s="147"/>
      <c r="H5" s="147"/>
      <c r="I5" s="147"/>
      <c r="J5" s="147"/>
      <c r="K5" s="147"/>
      <c r="L5" s="147"/>
      <c r="M5" s="193"/>
      <c r="N5" s="193"/>
      <c r="O5" s="193"/>
      <c r="P5" s="193"/>
      <c r="Q5" s="193"/>
      <c r="R5" s="193"/>
      <c r="S5" s="193"/>
      <c r="T5" s="193"/>
      <c r="U5" s="193"/>
    </row>
    <row r="6" spans="2:21" ht="15" hidden="1" x14ac:dyDescent="0.25">
      <c r="B6" s="546"/>
      <c r="C6" s="546"/>
    </row>
    <row r="7" spans="2:21" ht="15" customHeight="1" x14ac:dyDescent="0.25">
      <c r="B7" s="563" t="s">
        <v>47</v>
      </c>
      <c r="C7" s="563"/>
      <c r="E7" s="564" t="s">
        <v>215</v>
      </c>
      <c r="F7" s="565"/>
      <c r="G7" s="149"/>
      <c r="H7" s="564" t="s">
        <v>216</v>
      </c>
      <c r="I7" s="565"/>
      <c r="J7" s="150"/>
      <c r="K7" s="564" t="s">
        <v>230</v>
      </c>
      <c r="L7" s="565"/>
      <c r="N7" s="564" t="s">
        <v>217</v>
      </c>
      <c r="O7" s="565"/>
      <c r="P7" s="149"/>
      <c r="Q7" s="564" t="s">
        <v>218</v>
      </c>
      <c r="R7" s="565"/>
      <c r="S7" s="150"/>
      <c r="T7" s="564" t="s">
        <v>219</v>
      </c>
      <c r="U7" s="565"/>
    </row>
    <row r="8" spans="2:21" ht="15" customHeight="1" x14ac:dyDescent="0.25">
      <c r="B8" s="563"/>
      <c r="C8" s="563"/>
      <c r="E8" s="566"/>
      <c r="F8" s="567"/>
      <c r="G8" s="149"/>
      <c r="H8" s="566"/>
      <c r="I8" s="567"/>
      <c r="J8" s="150"/>
      <c r="K8" s="566"/>
      <c r="L8" s="567"/>
      <c r="N8" s="566"/>
      <c r="O8" s="567"/>
      <c r="P8" s="149"/>
      <c r="Q8" s="566"/>
      <c r="R8" s="567"/>
      <c r="S8" s="150"/>
      <c r="T8" s="566"/>
      <c r="U8" s="567"/>
    </row>
    <row r="9" spans="2:21" ht="15" hidden="1" x14ac:dyDescent="0.25">
      <c r="B9" s="555" t="s">
        <v>67</v>
      </c>
      <c r="C9" s="556"/>
      <c r="E9" s="568"/>
      <c r="F9" s="569"/>
      <c r="G9" s="149"/>
      <c r="H9" s="568"/>
      <c r="I9" s="569"/>
      <c r="J9" s="150"/>
      <c r="K9" s="568"/>
      <c r="L9" s="569"/>
      <c r="N9" s="568"/>
      <c r="O9" s="569"/>
      <c r="P9" s="149"/>
      <c r="Q9" s="568"/>
      <c r="R9" s="569"/>
      <c r="S9" s="150"/>
      <c r="T9" s="568"/>
      <c r="U9" s="569"/>
    </row>
    <row r="10" spans="2:21" ht="15" customHeight="1" x14ac:dyDescent="0.25">
      <c r="B10" s="173"/>
      <c r="C10" s="172" t="s">
        <v>51</v>
      </c>
      <c r="P10" s="10"/>
    </row>
    <row r="11" spans="2:21" ht="15" customHeight="1" x14ac:dyDescent="0.25">
      <c r="B11" s="557" t="s">
        <v>52</v>
      </c>
      <c r="C11" s="159" t="s">
        <v>53</v>
      </c>
      <c r="E11" s="559" t="s">
        <v>54</v>
      </c>
      <c r="F11" s="549" t="s">
        <v>55</v>
      </c>
      <c r="G11" s="149"/>
      <c r="H11" s="616" t="s">
        <v>54</v>
      </c>
      <c r="I11" s="549" t="s">
        <v>55</v>
      </c>
      <c r="J11" s="150"/>
      <c r="K11" s="559" t="s">
        <v>54</v>
      </c>
      <c r="L11" s="549" t="s">
        <v>55</v>
      </c>
      <c r="N11" s="559" t="s">
        <v>54</v>
      </c>
      <c r="O11" s="549" t="s">
        <v>55</v>
      </c>
      <c r="P11" s="149"/>
      <c r="Q11" s="559" t="s">
        <v>54</v>
      </c>
      <c r="R11" s="549" t="s">
        <v>55</v>
      </c>
      <c r="S11" s="150"/>
      <c r="T11" s="559" t="s">
        <v>54</v>
      </c>
      <c r="U11" s="549" t="s">
        <v>55</v>
      </c>
    </row>
    <row r="12" spans="2:21" ht="15" hidden="1" x14ac:dyDescent="0.25">
      <c r="B12" s="558"/>
      <c r="C12" s="160" t="s">
        <v>56</v>
      </c>
      <c r="E12" s="560"/>
      <c r="F12" s="550"/>
      <c r="G12" s="149"/>
      <c r="H12" s="617"/>
      <c r="I12" s="550"/>
      <c r="J12" s="150"/>
      <c r="K12" s="560"/>
      <c r="L12" s="550"/>
      <c r="N12" s="560"/>
      <c r="O12" s="550"/>
      <c r="P12" s="149"/>
      <c r="Q12" s="560"/>
      <c r="R12" s="550"/>
      <c r="S12" s="150"/>
      <c r="T12" s="560"/>
      <c r="U12" s="550"/>
    </row>
    <row r="13" spans="2:21" ht="15" customHeight="1" x14ac:dyDescent="0.25">
      <c r="B13" s="558"/>
      <c r="C13" s="160" t="s">
        <v>57</v>
      </c>
      <c r="E13" s="151">
        <v>1</v>
      </c>
      <c r="F13" s="152">
        <v>44964</v>
      </c>
      <c r="H13" s="151">
        <v>1</v>
      </c>
      <c r="I13" s="152">
        <v>44992</v>
      </c>
      <c r="K13" s="151">
        <v>1</v>
      </c>
      <c r="L13" s="152">
        <v>45026</v>
      </c>
      <c r="N13" s="151">
        <v>1</v>
      </c>
      <c r="O13" s="152">
        <v>45055</v>
      </c>
      <c r="P13" s="10"/>
      <c r="Q13" s="151">
        <v>1</v>
      </c>
      <c r="R13" s="152">
        <v>45084</v>
      </c>
      <c r="T13" s="151">
        <v>1</v>
      </c>
      <c r="U13" s="152">
        <v>45114</v>
      </c>
    </row>
    <row r="14" spans="2:21" ht="15" customHeight="1" x14ac:dyDescent="0.25">
      <c r="B14" s="558"/>
      <c r="C14" s="160" t="s">
        <v>58</v>
      </c>
      <c r="E14" s="153">
        <v>2</v>
      </c>
      <c r="F14" s="154">
        <v>44965</v>
      </c>
      <c r="H14" s="153">
        <v>2</v>
      </c>
      <c r="I14" s="154">
        <v>44993</v>
      </c>
      <c r="K14" s="153">
        <v>2</v>
      </c>
      <c r="L14" s="154">
        <v>45027</v>
      </c>
      <c r="N14" s="153">
        <v>2</v>
      </c>
      <c r="O14" s="154">
        <v>45056</v>
      </c>
      <c r="P14" s="10"/>
      <c r="Q14" s="153">
        <v>2</v>
      </c>
      <c r="R14" s="154">
        <v>45085</v>
      </c>
      <c r="T14" s="153">
        <v>2</v>
      </c>
      <c r="U14" s="154">
        <v>45117</v>
      </c>
    </row>
    <row r="15" spans="2:21" ht="15" x14ac:dyDescent="0.25">
      <c r="B15" s="558"/>
      <c r="C15" s="160" t="s">
        <v>59</v>
      </c>
      <c r="E15" s="153">
        <v>3</v>
      </c>
      <c r="F15" s="154">
        <v>44966</v>
      </c>
      <c r="H15" s="153">
        <v>3</v>
      </c>
      <c r="I15" s="154">
        <v>44994</v>
      </c>
      <c r="K15" s="153">
        <v>3</v>
      </c>
      <c r="L15" s="154">
        <v>45028</v>
      </c>
      <c r="N15" s="153">
        <v>3</v>
      </c>
      <c r="O15" s="154">
        <v>45057</v>
      </c>
      <c r="P15" s="10"/>
      <c r="Q15" s="153">
        <v>3</v>
      </c>
      <c r="R15" s="154">
        <v>45086</v>
      </c>
      <c r="T15" s="153">
        <v>3</v>
      </c>
      <c r="U15" s="154">
        <v>45118</v>
      </c>
    </row>
    <row r="16" spans="2:21" ht="15" x14ac:dyDescent="0.25">
      <c r="B16" s="558"/>
      <c r="C16" s="160" t="s">
        <v>60</v>
      </c>
      <c r="E16" s="153">
        <v>4</v>
      </c>
      <c r="F16" s="154">
        <v>44967</v>
      </c>
      <c r="H16" s="153">
        <v>4</v>
      </c>
      <c r="I16" s="154">
        <v>44995</v>
      </c>
      <c r="K16" s="153">
        <v>4</v>
      </c>
      <c r="L16" s="154">
        <v>45029</v>
      </c>
      <c r="N16" s="153">
        <v>4</v>
      </c>
      <c r="O16" s="154">
        <v>45058</v>
      </c>
      <c r="P16" s="10"/>
      <c r="Q16" s="153">
        <v>4</v>
      </c>
      <c r="R16" s="154">
        <v>45090</v>
      </c>
      <c r="T16" s="153">
        <v>4</v>
      </c>
      <c r="U16" s="154">
        <v>45119</v>
      </c>
    </row>
    <row r="17" spans="2:21" ht="15" x14ac:dyDescent="0.25">
      <c r="B17" s="558"/>
      <c r="C17" s="160" t="s">
        <v>61</v>
      </c>
      <c r="E17" s="153">
        <v>5</v>
      </c>
      <c r="F17" s="154">
        <v>44970</v>
      </c>
      <c r="H17" s="153">
        <v>5</v>
      </c>
      <c r="I17" s="154">
        <v>44998</v>
      </c>
      <c r="K17" s="153">
        <v>5</v>
      </c>
      <c r="L17" s="154">
        <v>45030</v>
      </c>
      <c r="N17" s="153">
        <v>5</v>
      </c>
      <c r="O17" s="154">
        <v>45061</v>
      </c>
      <c r="P17" s="10"/>
      <c r="Q17" s="153">
        <v>5</v>
      </c>
      <c r="R17" s="154">
        <v>45091</v>
      </c>
      <c r="T17" s="153">
        <v>5</v>
      </c>
      <c r="U17" s="154">
        <v>45120</v>
      </c>
    </row>
    <row r="18" spans="2:21" ht="15" x14ac:dyDescent="0.25">
      <c r="B18" s="558"/>
      <c r="C18" s="160" t="s">
        <v>62</v>
      </c>
      <c r="E18" s="153">
        <v>6</v>
      </c>
      <c r="F18" s="154">
        <v>44971</v>
      </c>
      <c r="H18" s="153">
        <v>6</v>
      </c>
      <c r="I18" s="154">
        <v>44999</v>
      </c>
      <c r="K18" s="153">
        <v>6</v>
      </c>
      <c r="L18" s="154">
        <v>45033</v>
      </c>
      <c r="N18" s="153">
        <v>6</v>
      </c>
      <c r="O18" s="154">
        <v>45062</v>
      </c>
      <c r="P18" s="10"/>
      <c r="Q18" s="153">
        <v>6</v>
      </c>
      <c r="R18" s="154">
        <v>45092</v>
      </c>
      <c r="T18" s="153">
        <v>6</v>
      </c>
      <c r="U18" s="154">
        <v>45121</v>
      </c>
    </row>
    <row r="19" spans="2:21" ht="15" x14ac:dyDescent="0.25">
      <c r="B19" s="558"/>
      <c r="C19" s="160" t="s">
        <v>63</v>
      </c>
      <c r="E19" s="153">
        <v>7</v>
      </c>
      <c r="F19" s="154">
        <v>44972</v>
      </c>
      <c r="H19" s="153">
        <v>7</v>
      </c>
      <c r="I19" s="154">
        <v>45000</v>
      </c>
      <c r="K19" s="153">
        <v>7</v>
      </c>
      <c r="L19" s="154">
        <v>45034</v>
      </c>
      <c r="N19" s="153">
        <v>7</v>
      </c>
      <c r="O19" s="154">
        <v>45063</v>
      </c>
      <c r="P19" s="10"/>
      <c r="Q19" s="153">
        <v>7</v>
      </c>
      <c r="R19" s="154">
        <v>45093</v>
      </c>
      <c r="T19" s="153">
        <v>7</v>
      </c>
      <c r="U19" s="154">
        <v>45124</v>
      </c>
    </row>
    <row r="20" spans="2:21" ht="15" x14ac:dyDescent="0.25">
      <c r="B20" s="558"/>
      <c r="C20" s="160" t="s">
        <v>64</v>
      </c>
      <c r="E20" s="153">
        <v>8</v>
      </c>
      <c r="F20" s="154">
        <v>44973</v>
      </c>
      <c r="H20" s="153">
        <v>8</v>
      </c>
      <c r="I20" s="154">
        <v>45001</v>
      </c>
      <c r="K20" s="153">
        <v>8</v>
      </c>
      <c r="L20" s="154">
        <v>45035</v>
      </c>
      <c r="N20" s="153">
        <v>8</v>
      </c>
      <c r="O20" s="154">
        <v>45064</v>
      </c>
      <c r="P20" s="10"/>
      <c r="Q20" s="153">
        <v>8</v>
      </c>
      <c r="R20" s="154">
        <v>45097</v>
      </c>
      <c r="T20" s="153">
        <v>8</v>
      </c>
      <c r="U20" s="154">
        <v>45125</v>
      </c>
    </row>
    <row r="21" spans="2:21" ht="15" x14ac:dyDescent="0.25">
      <c r="B21" s="558"/>
      <c r="C21" s="160" t="s">
        <v>65</v>
      </c>
      <c r="E21" s="153">
        <v>9</v>
      </c>
      <c r="F21" s="154">
        <v>44974</v>
      </c>
      <c r="H21" s="153">
        <v>9</v>
      </c>
      <c r="I21" s="154">
        <v>45002</v>
      </c>
      <c r="K21" s="153">
        <v>9</v>
      </c>
      <c r="L21" s="154">
        <v>45036</v>
      </c>
      <c r="N21" s="153">
        <v>9</v>
      </c>
      <c r="O21" s="154">
        <v>45065</v>
      </c>
      <c r="P21" s="10"/>
      <c r="Q21" s="153">
        <v>9</v>
      </c>
      <c r="R21" s="154">
        <v>45098</v>
      </c>
      <c r="T21" s="153">
        <v>9</v>
      </c>
      <c r="U21" s="154">
        <v>45126</v>
      </c>
    </row>
    <row r="22" spans="2:21" ht="15" x14ac:dyDescent="0.25">
      <c r="B22" s="576"/>
      <c r="C22" s="161" t="s">
        <v>66</v>
      </c>
      <c r="E22" s="155">
        <v>0</v>
      </c>
      <c r="F22" s="156">
        <v>44977</v>
      </c>
      <c r="G22" s="157"/>
      <c r="H22" s="155">
        <v>0</v>
      </c>
      <c r="I22" s="156">
        <v>45006</v>
      </c>
      <c r="J22" s="158"/>
      <c r="K22" s="155">
        <v>0</v>
      </c>
      <c r="L22" s="177">
        <v>45037</v>
      </c>
      <c r="N22" s="155">
        <v>0</v>
      </c>
      <c r="O22" s="177">
        <v>45069</v>
      </c>
      <c r="P22" s="157"/>
      <c r="Q22" s="155">
        <v>0</v>
      </c>
      <c r="R22" s="177">
        <v>45099</v>
      </c>
      <c r="S22" s="158"/>
      <c r="T22" s="155">
        <v>0</v>
      </c>
      <c r="U22" s="156">
        <v>45128</v>
      </c>
    </row>
    <row r="23" spans="2:21" ht="15.75" thickBot="1" x14ac:dyDescent="0.3">
      <c r="P23" s="10"/>
    </row>
    <row r="24" spans="2:21" ht="16.5" thickTop="1" thickBot="1" x14ac:dyDescent="0.3">
      <c r="B24" s="615"/>
      <c r="C24" s="615"/>
      <c r="E24" s="564" t="s">
        <v>220</v>
      </c>
      <c r="F24" s="565"/>
      <c r="G24" s="149"/>
      <c r="H24" s="564" t="s">
        <v>221</v>
      </c>
      <c r="I24" s="565"/>
      <c r="J24" s="150"/>
      <c r="K24" s="564" t="s">
        <v>222</v>
      </c>
      <c r="L24" s="565"/>
      <c r="N24" s="564" t="s">
        <v>223</v>
      </c>
      <c r="O24" s="565"/>
      <c r="P24" s="149"/>
      <c r="Q24" s="564" t="s">
        <v>224</v>
      </c>
      <c r="R24" s="565"/>
      <c r="S24" s="150"/>
      <c r="T24" s="564" t="s">
        <v>225</v>
      </c>
      <c r="U24" s="565"/>
    </row>
    <row r="25" spans="2:21" ht="15" hidden="1" customHeight="1" x14ac:dyDescent="0.25">
      <c r="B25" s="615"/>
      <c r="C25" s="615"/>
      <c r="E25" s="566"/>
      <c r="F25" s="567"/>
      <c r="G25" s="149"/>
      <c r="H25" s="566"/>
      <c r="I25" s="567"/>
      <c r="J25" s="150"/>
      <c r="K25" s="566"/>
      <c r="L25" s="567"/>
      <c r="N25" s="566"/>
      <c r="O25" s="567"/>
      <c r="P25" s="149"/>
      <c r="Q25" s="566"/>
      <c r="R25" s="567"/>
      <c r="S25" s="150"/>
      <c r="T25" s="566"/>
      <c r="U25" s="567"/>
    </row>
    <row r="26" spans="2:21" ht="15" hidden="1" customHeight="1" x14ac:dyDescent="0.25">
      <c r="B26" s="615"/>
      <c r="C26" s="615"/>
      <c r="E26" s="568"/>
      <c r="F26" s="569"/>
      <c r="G26" s="149"/>
      <c r="H26" s="568"/>
      <c r="I26" s="569"/>
      <c r="J26" s="150"/>
      <c r="K26" s="568"/>
      <c r="L26" s="569"/>
      <c r="N26" s="568"/>
      <c r="O26" s="569"/>
      <c r="P26" s="149"/>
      <c r="Q26" s="568"/>
      <c r="R26" s="569"/>
      <c r="S26" s="150"/>
      <c r="T26" s="568"/>
      <c r="U26" s="569"/>
    </row>
    <row r="27" spans="2:21" ht="16.5" thickTop="1" thickBot="1" x14ac:dyDescent="0.3">
      <c r="B27" s="615"/>
      <c r="C27" s="615"/>
      <c r="P27" s="10"/>
    </row>
    <row r="28" spans="2:21" ht="16.5" thickTop="1" thickBot="1" x14ac:dyDescent="0.3">
      <c r="B28" s="615"/>
      <c r="C28" s="615"/>
      <c r="E28" s="616" t="s">
        <v>54</v>
      </c>
      <c r="F28" s="549" t="s">
        <v>55</v>
      </c>
      <c r="G28" s="149"/>
      <c r="H28" s="616" t="s">
        <v>54</v>
      </c>
      <c r="I28" s="549" t="s">
        <v>55</v>
      </c>
      <c r="J28" s="150"/>
      <c r="K28" s="616" t="s">
        <v>54</v>
      </c>
      <c r="L28" s="549" t="s">
        <v>55</v>
      </c>
      <c r="N28" s="616" t="s">
        <v>54</v>
      </c>
      <c r="O28" s="549" t="s">
        <v>55</v>
      </c>
      <c r="P28" s="149"/>
      <c r="Q28" s="616" t="s">
        <v>54</v>
      </c>
      <c r="R28" s="549" t="s">
        <v>55</v>
      </c>
      <c r="S28" s="150"/>
      <c r="T28" s="616" t="s">
        <v>54</v>
      </c>
      <c r="U28" s="549" t="s">
        <v>55</v>
      </c>
    </row>
    <row r="29" spans="2:21" ht="15" hidden="1" customHeight="1" x14ac:dyDescent="0.25">
      <c r="B29" s="615"/>
      <c r="C29" s="615"/>
      <c r="E29" s="617"/>
      <c r="F29" s="550"/>
      <c r="G29" s="149"/>
      <c r="H29" s="617"/>
      <c r="I29" s="550"/>
      <c r="J29" s="150"/>
      <c r="K29" s="617"/>
      <c r="L29" s="550"/>
      <c r="N29" s="617"/>
      <c r="O29" s="550"/>
      <c r="P29" s="149"/>
      <c r="Q29" s="617"/>
      <c r="R29" s="550"/>
      <c r="S29" s="150"/>
      <c r="T29" s="617"/>
      <c r="U29" s="550"/>
    </row>
    <row r="30" spans="2:21" ht="16.5" thickTop="1" thickBot="1" x14ac:dyDescent="0.3">
      <c r="B30" s="615"/>
      <c r="C30" s="615"/>
      <c r="E30" s="151">
        <v>1</v>
      </c>
      <c r="F30" s="152">
        <v>45147</v>
      </c>
      <c r="H30" s="151">
        <v>1</v>
      </c>
      <c r="I30" s="152">
        <v>45176</v>
      </c>
      <c r="K30" s="151">
        <v>1</v>
      </c>
      <c r="L30" s="152">
        <v>45209</v>
      </c>
      <c r="N30" s="151">
        <v>1</v>
      </c>
      <c r="O30" s="152">
        <v>45238</v>
      </c>
      <c r="P30" s="10"/>
      <c r="Q30" s="151">
        <v>1</v>
      </c>
      <c r="R30" s="152">
        <v>45271</v>
      </c>
      <c r="T30" s="151">
        <v>1</v>
      </c>
      <c r="U30" s="152">
        <v>45301</v>
      </c>
    </row>
    <row r="31" spans="2:21" ht="16.5" thickTop="1" thickBot="1" x14ac:dyDescent="0.3">
      <c r="B31" s="615"/>
      <c r="C31" s="615"/>
      <c r="E31" s="153">
        <v>2</v>
      </c>
      <c r="F31" s="154">
        <v>45148</v>
      </c>
      <c r="H31" s="153">
        <v>2</v>
      </c>
      <c r="I31" s="154">
        <v>45177</v>
      </c>
      <c r="K31" s="153">
        <v>2</v>
      </c>
      <c r="L31" s="154">
        <v>45210</v>
      </c>
      <c r="N31" s="153">
        <v>2</v>
      </c>
      <c r="O31" s="154">
        <v>45239</v>
      </c>
      <c r="P31" s="10"/>
      <c r="Q31" s="153">
        <v>2</v>
      </c>
      <c r="R31" s="154">
        <v>45272</v>
      </c>
      <c r="T31" s="153">
        <v>2</v>
      </c>
      <c r="U31" s="154">
        <v>45302</v>
      </c>
    </row>
    <row r="32" spans="2:21" ht="16.5" thickTop="1" thickBot="1" x14ac:dyDescent="0.3">
      <c r="B32" s="615"/>
      <c r="C32" s="615"/>
      <c r="E32" s="153">
        <v>3</v>
      </c>
      <c r="F32" s="154">
        <v>45149</v>
      </c>
      <c r="H32" s="153">
        <v>3</v>
      </c>
      <c r="I32" s="154">
        <v>45180</v>
      </c>
      <c r="K32" s="153">
        <v>3</v>
      </c>
      <c r="L32" s="154">
        <v>45211</v>
      </c>
      <c r="N32" s="153">
        <v>3</v>
      </c>
      <c r="O32" s="154">
        <v>45240</v>
      </c>
      <c r="P32" s="10"/>
      <c r="Q32" s="153">
        <v>3</v>
      </c>
      <c r="R32" s="154">
        <v>45273</v>
      </c>
      <c r="T32" s="153">
        <v>3</v>
      </c>
      <c r="U32" s="154">
        <v>45303</v>
      </c>
    </row>
    <row r="33" spans="2:21" ht="16.5" thickTop="1" thickBot="1" x14ac:dyDescent="0.3">
      <c r="B33" s="615"/>
      <c r="C33" s="615"/>
      <c r="E33" s="153">
        <v>4</v>
      </c>
      <c r="F33" s="154">
        <v>45152</v>
      </c>
      <c r="H33" s="153">
        <v>4</v>
      </c>
      <c r="I33" s="154">
        <v>45181</v>
      </c>
      <c r="K33" s="153">
        <v>4</v>
      </c>
      <c r="L33" s="154">
        <v>45212</v>
      </c>
      <c r="N33" s="153">
        <v>4</v>
      </c>
      <c r="O33" s="154">
        <v>45244</v>
      </c>
      <c r="P33" s="10"/>
      <c r="Q33" s="153">
        <v>4</v>
      </c>
      <c r="R33" s="154">
        <v>45274</v>
      </c>
      <c r="T33" s="153">
        <v>4</v>
      </c>
      <c r="U33" s="154">
        <v>45306</v>
      </c>
    </row>
    <row r="34" spans="2:21" ht="16.5" thickTop="1" thickBot="1" x14ac:dyDescent="0.3">
      <c r="B34" s="615"/>
      <c r="C34" s="615"/>
      <c r="E34" s="153">
        <v>5</v>
      </c>
      <c r="F34" s="154">
        <v>45153</v>
      </c>
      <c r="H34" s="153">
        <v>5</v>
      </c>
      <c r="I34" s="154">
        <v>45182</v>
      </c>
      <c r="K34" s="153">
        <v>5</v>
      </c>
      <c r="L34" s="154">
        <v>45216</v>
      </c>
      <c r="N34" s="153">
        <v>5</v>
      </c>
      <c r="O34" s="154">
        <v>45245</v>
      </c>
      <c r="P34" s="10"/>
      <c r="Q34" s="153">
        <v>5</v>
      </c>
      <c r="R34" s="154">
        <v>45275</v>
      </c>
      <c r="T34" s="153">
        <v>5</v>
      </c>
      <c r="U34" s="154">
        <v>45307</v>
      </c>
    </row>
    <row r="35" spans="2:21" ht="16.5" thickTop="1" thickBot="1" x14ac:dyDescent="0.3">
      <c r="B35" s="615"/>
      <c r="C35" s="615"/>
      <c r="E35" s="153">
        <v>6</v>
      </c>
      <c r="F35" s="154">
        <v>45154</v>
      </c>
      <c r="H35" s="153">
        <v>6</v>
      </c>
      <c r="I35" s="154">
        <v>45183</v>
      </c>
      <c r="K35" s="153">
        <v>6</v>
      </c>
      <c r="L35" s="154">
        <v>45217</v>
      </c>
      <c r="N35" s="153">
        <v>6</v>
      </c>
      <c r="O35" s="154">
        <v>45246</v>
      </c>
      <c r="P35" s="10"/>
      <c r="Q35" s="153">
        <v>6</v>
      </c>
      <c r="R35" s="154">
        <v>45278</v>
      </c>
      <c r="T35" s="153">
        <v>6</v>
      </c>
      <c r="U35" s="154">
        <v>45308</v>
      </c>
    </row>
    <row r="36" spans="2:21" ht="16.5" thickTop="1" thickBot="1" x14ac:dyDescent="0.3">
      <c r="B36" s="615"/>
      <c r="C36" s="615"/>
      <c r="E36" s="153">
        <v>7</v>
      </c>
      <c r="F36" s="154">
        <v>45155</v>
      </c>
      <c r="H36" s="153">
        <v>7</v>
      </c>
      <c r="I36" s="154">
        <v>45184</v>
      </c>
      <c r="K36" s="153">
        <v>7</v>
      </c>
      <c r="L36" s="154">
        <v>45218</v>
      </c>
      <c r="N36" s="153">
        <v>7</v>
      </c>
      <c r="O36" s="154">
        <v>45247</v>
      </c>
      <c r="P36" s="10"/>
      <c r="Q36" s="153">
        <v>7</v>
      </c>
      <c r="R36" s="154">
        <v>45279</v>
      </c>
      <c r="T36" s="153">
        <v>7</v>
      </c>
      <c r="U36" s="154">
        <v>45309</v>
      </c>
    </row>
    <row r="37" spans="2:21" ht="16.5" thickTop="1" thickBot="1" x14ac:dyDescent="0.3">
      <c r="B37" s="615"/>
      <c r="C37" s="615"/>
      <c r="E37" s="153">
        <v>8</v>
      </c>
      <c r="F37" s="154">
        <v>45156</v>
      </c>
      <c r="H37" s="153">
        <v>8</v>
      </c>
      <c r="I37" s="154">
        <v>45187</v>
      </c>
      <c r="K37" s="153">
        <v>8</v>
      </c>
      <c r="L37" s="154">
        <v>45219</v>
      </c>
      <c r="N37" s="153">
        <v>8</v>
      </c>
      <c r="O37" s="154">
        <v>45250</v>
      </c>
      <c r="P37" s="10"/>
      <c r="Q37" s="153">
        <v>8</v>
      </c>
      <c r="R37" s="154">
        <v>45280</v>
      </c>
      <c r="T37" s="153">
        <v>8</v>
      </c>
      <c r="U37" s="154">
        <v>45310</v>
      </c>
    </row>
    <row r="38" spans="2:21" ht="16.5" thickTop="1" thickBot="1" x14ac:dyDescent="0.3">
      <c r="B38" s="615"/>
      <c r="C38" s="615"/>
      <c r="E38" s="153">
        <v>9</v>
      </c>
      <c r="F38" s="154">
        <v>45160</v>
      </c>
      <c r="H38" s="153">
        <v>9</v>
      </c>
      <c r="I38" s="154">
        <v>45188</v>
      </c>
      <c r="K38" s="153">
        <v>9</v>
      </c>
      <c r="L38" s="154">
        <v>45222</v>
      </c>
      <c r="N38" s="153">
        <v>9</v>
      </c>
      <c r="O38" s="154">
        <v>45251</v>
      </c>
      <c r="P38" s="10"/>
      <c r="Q38" s="153">
        <v>9</v>
      </c>
      <c r="R38" s="154">
        <v>45281</v>
      </c>
      <c r="T38" s="153">
        <v>9</v>
      </c>
      <c r="U38" s="154">
        <v>45313</v>
      </c>
    </row>
    <row r="39" spans="2:21" ht="16.5" thickTop="1" thickBot="1" x14ac:dyDescent="0.3">
      <c r="B39" s="615"/>
      <c r="C39" s="615"/>
      <c r="E39" s="155">
        <v>0</v>
      </c>
      <c r="F39" s="177">
        <v>45161</v>
      </c>
      <c r="G39" s="157"/>
      <c r="H39" s="155">
        <v>0</v>
      </c>
      <c r="I39" s="177">
        <v>45189</v>
      </c>
      <c r="J39" s="158"/>
      <c r="K39" s="155">
        <v>0</v>
      </c>
      <c r="L39" s="177">
        <v>45223</v>
      </c>
      <c r="N39" s="155">
        <v>0</v>
      </c>
      <c r="O39" s="177">
        <v>45252</v>
      </c>
      <c r="P39" s="157"/>
      <c r="Q39" s="155">
        <v>0</v>
      </c>
      <c r="R39" s="177">
        <v>45282</v>
      </c>
      <c r="S39" s="158"/>
      <c r="T39" s="155">
        <v>0</v>
      </c>
      <c r="U39" s="156">
        <v>45314</v>
      </c>
    </row>
    <row r="40" spans="2:21" ht="3" customHeight="1" thickTop="1" x14ac:dyDescent="0.25"/>
    <row r="41" spans="2:21" ht="3.75" customHeight="1" x14ac:dyDescent="0.25"/>
  </sheetData>
  <sheetProtection algorithmName="SHA-512" hashValue="skFGwGidaUoRTRt9AUSMrGQXiPl4q44S1LnO+igLeClbAg7VS8axjgn88C5PDCanTC7bgOh/E6ZGhn5FgW5oRQ==" saltValue="MX/nXxIZn0lDMqQufRSjJQ==" spinCount="100000" sheet="1" objects="1" scenarios="1"/>
  <protectedRanges>
    <protectedRange algorithmName="SHA-512" hashValue="PFofKYue5ka8rr00tos5slnWr5aoaIJ2htsU+mpQ8nZ9wVLBGWlRgsrtv3H9TlU/yKvzIazLUTgLnhlqMHTPcQ==" saltValue="ZmhsslWrQikeKqCvdAhyGw==" spinCount="100000" sqref="E7:U1048576" name="Retefuente"/>
  </protectedRanges>
  <mergeCells count="41">
    <mergeCell ref="B2:C6"/>
    <mergeCell ref="B7:C8"/>
    <mergeCell ref="E7:F9"/>
    <mergeCell ref="H7:I9"/>
    <mergeCell ref="K7:L9"/>
    <mergeCell ref="B9:C9"/>
    <mergeCell ref="L11:L12"/>
    <mergeCell ref="B11:B22"/>
    <mergeCell ref="E11:E12"/>
    <mergeCell ref="F11:F12"/>
    <mergeCell ref="H11:H12"/>
    <mergeCell ref="I11:I12"/>
    <mergeCell ref="K11:K12"/>
    <mergeCell ref="N7:O9"/>
    <mergeCell ref="Q7:R9"/>
    <mergeCell ref="T7:U9"/>
    <mergeCell ref="N11:N12"/>
    <mergeCell ref="O11:O12"/>
    <mergeCell ref="Q11:Q12"/>
    <mergeCell ref="R11:R12"/>
    <mergeCell ref="T11:T12"/>
    <mergeCell ref="U11:U12"/>
    <mergeCell ref="N24:O26"/>
    <mergeCell ref="Q24:R26"/>
    <mergeCell ref="T24:U26"/>
    <mergeCell ref="N28:N29"/>
    <mergeCell ref="O28:O29"/>
    <mergeCell ref="Q28:Q29"/>
    <mergeCell ref="R28:R29"/>
    <mergeCell ref="T28:T29"/>
    <mergeCell ref="U28:U29"/>
    <mergeCell ref="B24:C39"/>
    <mergeCell ref="K24:L26"/>
    <mergeCell ref="H24:I26"/>
    <mergeCell ref="E24:F26"/>
    <mergeCell ref="L28:L29"/>
    <mergeCell ref="K28:K29"/>
    <mergeCell ref="I28:I29"/>
    <mergeCell ref="H28:H29"/>
    <mergeCell ref="F28:F29"/>
    <mergeCell ref="E28:E29"/>
  </mergeCells>
  <hyperlinks>
    <hyperlink ref="B11:B22" location="Anual!A1" display="Calendario" xr:uid="{87246E3A-8C18-4A89-A978-79755384705C}"/>
    <hyperlink ref="C11" location="Enero!A1" display="Enero" xr:uid="{B9FC9E28-ED7E-46E3-9489-DFF98E592E97}"/>
    <hyperlink ref="C12" location="Febrero!A1" display="Febrero" xr:uid="{EF542760-D421-400B-A8F2-3A3550BD6F67}"/>
    <hyperlink ref="C13" location="Marzo!A1" display="Marzo" xr:uid="{A153F768-8F02-42AB-9E34-229B00A3C350}"/>
    <hyperlink ref="C14" location="Abril!A1" display="Abril" xr:uid="{B4F964F4-3398-4A47-9D80-937AEB384550}"/>
    <hyperlink ref="C15" location="Mayo!A1" display="Mayo" xr:uid="{5F0CEDF9-1F0A-4A70-931E-0E440C598FE6}"/>
    <hyperlink ref="C16" location="Junio!A1" display="Junio" xr:uid="{C004F6B6-6C34-4400-9407-2DAA413FCC0A}"/>
    <hyperlink ref="C17" location="Julio!A1" display="Julio" xr:uid="{84E82E96-8B53-4C3B-AA03-652C0C049F44}"/>
    <hyperlink ref="C18" location="Agosto!A1" display="Agosto" xr:uid="{4A7E9841-861A-4EA6-9763-4BBFCCAFA5A9}"/>
    <hyperlink ref="C19" location="Septiembre!A1" display="Septiembre" xr:uid="{82C51625-459D-4693-8755-79E9CCD666C4}"/>
    <hyperlink ref="C20" location="Octubre!A1" display="Octubre" xr:uid="{12E4ECCD-45B3-4F30-A1C4-3D5C8FF9A937}"/>
    <hyperlink ref="C21" location="Noviembre!A1" display="Noviembre" xr:uid="{32448143-17DF-4BCF-9BC7-4FABC0B84AD8}"/>
    <hyperlink ref="C22" location="Diciembre!A1" display="Diciembre" xr:uid="{4F2F2395-1143-4C84-A52C-52DE6DCCBEFA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1B609-9A05-482A-85BA-3D3BE9947776}">
  <dimension ref="A1:J106"/>
  <sheetViews>
    <sheetView showGridLines="0" workbookViewId="0">
      <pane ySplit="6" topLeftCell="A92" activePane="bottomLeft" state="frozen"/>
      <selection pane="bottomLeft" activeCell="E6" sqref="E6:I7"/>
    </sheetView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style="10" customWidth="1"/>
    <col min="5" max="5" width="5.7109375" style="274" customWidth="1"/>
    <col min="6" max="6" width="92.7109375" customWidth="1"/>
    <col min="7" max="7" width="14.7109375" customWidth="1"/>
    <col min="8" max="9" width="12.7109375" customWidth="1"/>
    <col min="10" max="10" width="0.5703125" customWidth="1"/>
    <col min="11" max="16384" width="11.42578125" hidden="1"/>
  </cols>
  <sheetData>
    <row r="1" spans="2:9" ht="28.5" customHeight="1" x14ac:dyDescent="0.25">
      <c r="E1"/>
      <c r="F1" s="10"/>
    </row>
    <row r="2" spans="2:9" ht="15" customHeight="1" x14ac:dyDescent="0.25">
      <c r="E2"/>
      <c r="F2" s="10"/>
    </row>
    <row r="3" spans="2:9" ht="15.75" x14ac:dyDescent="0.25">
      <c r="D3" s="191"/>
      <c r="E3" s="562" t="s">
        <v>392</v>
      </c>
      <c r="F3" s="562"/>
      <c r="G3" s="562"/>
      <c r="H3" s="562"/>
      <c r="I3" s="562"/>
    </row>
    <row r="4" spans="2:9" x14ac:dyDescent="0.25">
      <c r="E4"/>
      <c r="F4" s="10"/>
    </row>
    <row r="5" spans="2:9" ht="35.25" customHeight="1" x14ac:dyDescent="0.25">
      <c r="D5" s="187"/>
      <c r="E5" s="619" t="s">
        <v>695</v>
      </c>
      <c r="F5" s="619"/>
      <c r="G5" s="619"/>
      <c r="H5" s="619"/>
      <c r="I5" s="619"/>
    </row>
    <row r="6" spans="2:9" ht="39" customHeight="1" x14ac:dyDescent="0.25">
      <c r="B6" s="563" t="s">
        <v>47</v>
      </c>
      <c r="C6" s="563"/>
      <c r="D6" s="285"/>
      <c r="E6" s="546"/>
      <c r="F6" s="546"/>
      <c r="G6" s="546"/>
      <c r="H6" s="546"/>
      <c r="I6" s="546"/>
    </row>
    <row r="7" spans="2:9" x14ac:dyDescent="0.25">
      <c r="B7" s="563"/>
      <c r="C7" s="563"/>
      <c r="E7" s="546"/>
      <c r="F7" s="546"/>
      <c r="G7" s="546"/>
      <c r="H7" s="546"/>
      <c r="I7" s="546"/>
    </row>
    <row r="8" spans="2:9" x14ac:dyDescent="0.25">
      <c r="B8" s="557" t="s">
        <v>52</v>
      </c>
      <c r="C8" s="159" t="s">
        <v>53</v>
      </c>
      <c r="E8" s="546"/>
      <c r="F8" s="546"/>
      <c r="G8" s="546"/>
      <c r="H8" s="546"/>
      <c r="I8" s="546"/>
    </row>
    <row r="9" spans="2:9" x14ac:dyDescent="0.25">
      <c r="B9" s="558"/>
      <c r="C9" s="160" t="s">
        <v>56</v>
      </c>
      <c r="E9" s="546"/>
      <c r="F9" s="546"/>
      <c r="G9" s="546"/>
      <c r="H9" s="546"/>
      <c r="I9" s="546"/>
    </row>
    <row r="10" spans="2:9" x14ac:dyDescent="0.25">
      <c r="B10" s="558"/>
      <c r="C10" s="160" t="s">
        <v>57</v>
      </c>
      <c r="E10" s="546"/>
      <c r="F10" s="546"/>
      <c r="G10" s="546"/>
      <c r="H10" s="546"/>
      <c r="I10" s="546"/>
    </row>
    <row r="11" spans="2:9" x14ac:dyDescent="0.25">
      <c r="B11" s="558"/>
      <c r="C11" s="160" t="s">
        <v>58</v>
      </c>
      <c r="E11" s="546"/>
      <c r="F11" s="546"/>
      <c r="G11" s="546"/>
      <c r="H11" s="546"/>
      <c r="I11" s="546"/>
    </row>
    <row r="12" spans="2:9" x14ac:dyDescent="0.25">
      <c r="B12" s="558"/>
      <c r="C12" s="160" t="s">
        <v>59</v>
      </c>
      <c r="E12" s="546"/>
      <c r="F12" s="546"/>
      <c r="G12" s="546"/>
      <c r="H12" s="546"/>
      <c r="I12" s="546"/>
    </row>
    <row r="13" spans="2:9" x14ac:dyDescent="0.25">
      <c r="B13" s="558"/>
      <c r="C13" s="160" t="s">
        <v>60</v>
      </c>
      <c r="E13" s="546"/>
      <c r="F13" s="546"/>
      <c r="G13" s="546"/>
      <c r="H13" s="546"/>
      <c r="I13" s="546"/>
    </row>
    <row r="14" spans="2:9" x14ac:dyDescent="0.25">
      <c r="B14" s="558"/>
      <c r="C14" s="160" t="s">
        <v>61</v>
      </c>
      <c r="E14" s="546"/>
      <c r="F14" s="546"/>
      <c r="G14" s="546"/>
      <c r="H14" s="546"/>
      <c r="I14" s="546"/>
    </row>
    <row r="15" spans="2:9" x14ac:dyDescent="0.25">
      <c r="B15" s="558"/>
      <c r="C15" s="160" t="s">
        <v>62</v>
      </c>
      <c r="E15" s="546"/>
      <c r="F15" s="546"/>
      <c r="G15" s="546"/>
      <c r="H15" s="546"/>
      <c r="I15" s="546"/>
    </row>
    <row r="16" spans="2:9" x14ac:dyDescent="0.25">
      <c r="B16" s="558"/>
      <c r="C16" s="160" t="s">
        <v>63</v>
      </c>
      <c r="E16" s="546"/>
      <c r="F16" s="546"/>
      <c r="G16" s="546"/>
      <c r="H16" s="546"/>
      <c r="I16" s="546"/>
    </row>
    <row r="17" spans="2:9" ht="15.75" thickBot="1" x14ac:dyDescent="0.3">
      <c r="B17" s="558"/>
      <c r="C17" s="160" t="s">
        <v>64</v>
      </c>
      <c r="E17" s="824"/>
      <c r="F17" s="824"/>
      <c r="G17" s="824"/>
      <c r="H17" s="824"/>
      <c r="I17" s="824"/>
    </row>
    <row r="18" spans="2:9" x14ac:dyDescent="0.25">
      <c r="B18" s="558"/>
      <c r="C18" s="160" t="s">
        <v>65</v>
      </c>
      <c r="E18" s="275"/>
      <c r="F18" s="219"/>
      <c r="G18" s="220"/>
      <c r="H18" s="220"/>
      <c r="I18" s="221"/>
    </row>
    <row r="19" spans="2:9" ht="15.75" x14ac:dyDescent="0.25">
      <c r="B19" s="576"/>
      <c r="C19" s="161" t="s">
        <v>66</v>
      </c>
      <c r="E19" s="620" t="s">
        <v>388</v>
      </c>
      <c r="F19" s="621"/>
      <c r="G19" s="621"/>
      <c r="H19" s="621"/>
      <c r="I19" s="622"/>
    </row>
    <row r="20" spans="2:9" x14ac:dyDescent="0.25">
      <c r="E20" s="222"/>
      <c r="F20" s="223"/>
      <c r="G20" s="224"/>
      <c r="H20" s="225"/>
      <c r="I20" s="226"/>
    </row>
    <row r="21" spans="2:9" ht="2.25" customHeight="1" thickBot="1" x14ac:dyDescent="0.3">
      <c r="E21" s="276"/>
      <c r="F21" s="218"/>
      <c r="G21" s="227"/>
      <c r="H21" s="228" t="s">
        <v>296</v>
      </c>
      <c r="I21" s="229">
        <v>41412</v>
      </c>
    </row>
    <row r="22" spans="2:9" ht="17.25" thickTop="1" thickBot="1" x14ac:dyDescent="0.3">
      <c r="B22" s="618"/>
      <c r="C22" s="618"/>
      <c r="E22" s="230" t="s">
        <v>297</v>
      </c>
      <c r="F22" s="281" t="s">
        <v>298</v>
      </c>
      <c r="G22" s="231" t="s">
        <v>299</v>
      </c>
      <c r="H22" s="231" t="s">
        <v>300</v>
      </c>
      <c r="I22" s="232" t="s">
        <v>301</v>
      </c>
    </row>
    <row r="23" spans="2:9" ht="25.5" thickTop="1" thickBot="1" x14ac:dyDescent="0.3">
      <c r="B23" s="618"/>
      <c r="C23" s="618"/>
      <c r="E23" s="277">
        <v>1</v>
      </c>
      <c r="F23" s="233" t="s">
        <v>302</v>
      </c>
      <c r="G23" s="234">
        <v>95</v>
      </c>
      <c r="H23" s="235">
        <f>ROUND(G23*I21,-3)</f>
        <v>3934000</v>
      </c>
      <c r="I23" s="283" t="s">
        <v>303</v>
      </c>
    </row>
    <row r="24" spans="2:9" ht="16.5" thickTop="1" thickBot="1" x14ac:dyDescent="0.3">
      <c r="B24" s="618"/>
      <c r="C24" s="618"/>
      <c r="E24" s="278">
        <v>2</v>
      </c>
      <c r="F24" s="236" t="s">
        <v>304</v>
      </c>
      <c r="G24" s="234">
        <v>204</v>
      </c>
      <c r="H24" s="235">
        <f>ROUND((204*I21),-3)</f>
        <v>8448000</v>
      </c>
      <c r="I24" s="237">
        <v>0.2</v>
      </c>
    </row>
    <row r="25" spans="2:9" ht="17.25" thickTop="1" thickBot="1" x14ac:dyDescent="0.3">
      <c r="B25" s="618"/>
      <c r="C25" s="618"/>
      <c r="E25" s="238"/>
      <c r="F25" s="281" t="s">
        <v>390</v>
      </c>
      <c r="G25" s="239" t="s">
        <v>299</v>
      </c>
      <c r="H25" s="240" t="s">
        <v>300</v>
      </c>
      <c r="I25" s="241" t="s">
        <v>301</v>
      </c>
    </row>
    <row r="26" spans="2:9" ht="16.5" thickTop="1" thickBot="1" x14ac:dyDescent="0.3">
      <c r="B26" s="618"/>
      <c r="C26" s="618"/>
      <c r="E26" s="242">
        <v>3</v>
      </c>
      <c r="F26" s="243" t="s">
        <v>306</v>
      </c>
      <c r="G26" s="244" t="s">
        <v>305</v>
      </c>
      <c r="H26" s="245">
        <v>1</v>
      </c>
      <c r="I26" s="246">
        <v>0.11</v>
      </c>
    </row>
    <row r="27" spans="2:9" ht="24" thickTop="1" thickBot="1" x14ac:dyDescent="0.3">
      <c r="B27" s="618"/>
      <c r="C27" s="618"/>
      <c r="E27" s="242">
        <f t="shared" ref="E27:E35" si="0">+E26+1</f>
        <v>4</v>
      </c>
      <c r="F27" s="247" t="s">
        <v>307</v>
      </c>
      <c r="G27" s="244" t="s">
        <v>305</v>
      </c>
      <c r="H27" s="245">
        <v>1</v>
      </c>
      <c r="I27" s="248">
        <v>0.1</v>
      </c>
    </row>
    <row r="28" spans="2:9" ht="24" thickTop="1" thickBot="1" x14ac:dyDescent="0.3">
      <c r="B28" s="618"/>
      <c r="C28" s="618"/>
      <c r="E28" s="242">
        <f t="shared" si="0"/>
        <v>5</v>
      </c>
      <c r="F28" s="243" t="s">
        <v>308</v>
      </c>
      <c r="G28" s="244" t="s">
        <v>305</v>
      </c>
      <c r="H28" s="245">
        <v>1</v>
      </c>
      <c r="I28" s="249">
        <v>3.5000000000000003E-2</v>
      </c>
    </row>
    <row r="29" spans="2:9" ht="35.25" thickTop="1" thickBot="1" x14ac:dyDescent="0.3">
      <c r="B29" s="618"/>
      <c r="C29" s="618"/>
      <c r="E29" s="242">
        <f t="shared" si="0"/>
        <v>6</v>
      </c>
      <c r="F29" s="243" t="s">
        <v>309</v>
      </c>
      <c r="G29" s="244" t="s">
        <v>305</v>
      </c>
      <c r="H29" s="245">
        <v>1</v>
      </c>
      <c r="I29" s="249">
        <v>3.5000000000000003E-2</v>
      </c>
    </row>
    <row r="30" spans="2:9" ht="16.5" thickTop="1" thickBot="1" x14ac:dyDescent="0.3">
      <c r="B30" s="618"/>
      <c r="C30" s="618"/>
      <c r="E30" s="242">
        <f t="shared" si="0"/>
        <v>7</v>
      </c>
      <c r="F30" s="243" t="s">
        <v>310</v>
      </c>
      <c r="G30" s="244" t="s">
        <v>305</v>
      </c>
      <c r="H30" s="245">
        <v>1</v>
      </c>
      <c r="I30" s="248">
        <v>0.11</v>
      </c>
    </row>
    <row r="31" spans="2:9" ht="16.5" thickTop="1" thickBot="1" x14ac:dyDescent="0.3">
      <c r="B31" s="618"/>
      <c r="C31" s="618"/>
      <c r="E31" s="242">
        <f t="shared" si="0"/>
        <v>8</v>
      </c>
      <c r="F31" s="243" t="s">
        <v>311</v>
      </c>
      <c r="G31" s="244" t="s">
        <v>305</v>
      </c>
      <c r="H31" s="245">
        <v>1</v>
      </c>
      <c r="I31" s="246">
        <v>0.1</v>
      </c>
    </row>
    <row r="32" spans="2:9" ht="46.5" thickTop="1" thickBot="1" x14ac:dyDescent="0.3">
      <c r="B32" s="618"/>
      <c r="C32" s="618"/>
      <c r="E32" s="242">
        <f t="shared" si="0"/>
        <v>9</v>
      </c>
      <c r="F32" s="243" t="s">
        <v>312</v>
      </c>
      <c r="G32" s="244" t="s">
        <v>305</v>
      </c>
      <c r="H32" s="245">
        <v>1</v>
      </c>
      <c r="I32" s="246">
        <v>0.02</v>
      </c>
    </row>
    <row r="33" spans="2:9" ht="35.25" thickTop="1" thickBot="1" x14ac:dyDescent="0.3">
      <c r="B33" s="618"/>
      <c r="C33" s="618"/>
      <c r="E33" s="242">
        <f t="shared" si="0"/>
        <v>10</v>
      </c>
      <c r="F33" s="243" t="s">
        <v>313</v>
      </c>
      <c r="G33" s="244" t="s">
        <v>305</v>
      </c>
      <c r="H33" s="245">
        <v>1</v>
      </c>
      <c r="I33" s="246">
        <v>0.06</v>
      </c>
    </row>
    <row r="34" spans="2:9" ht="24" thickTop="1" thickBot="1" x14ac:dyDescent="0.3">
      <c r="B34" s="618"/>
      <c r="C34" s="618"/>
      <c r="E34" s="242">
        <f t="shared" si="0"/>
        <v>11</v>
      </c>
      <c r="F34" s="243" t="s">
        <v>314</v>
      </c>
      <c r="G34" s="244" t="s">
        <v>305</v>
      </c>
      <c r="H34" s="245">
        <v>1</v>
      </c>
      <c r="I34" s="246">
        <v>0.1</v>
      </c>
    </row>
    <row r="35" spans="2:9" ht="35.25" thickTop="1" thickBot="1" x14ac:dyDescent="0.3">
      <c r="B35" s="618"/>
      <c r="C35" s="618"/>
      <c r="E35" s="242">
        <f t="shared" si="0"/>
        <v>12</v>
      </c>
      <c r="F35" s="243" t="s">
        <v>315</v>
      </c>
      <c r="G35" s="244" t="s">
        <v>305</v>
      </c>
      <c r="H35" s="245">
        <v>1</v>
      </c>
      <c r="I35" s="246">
        <v>0.06</v>
      </c>
    </row>
    <row r="36" spans="2:9" ht="17.25" thickTop="1" thickBot="1" x14ac:dyDescent="0.3">
      <c r="B36" s="618"/>
      <c r="C36" s="618"/>
      <c r="E36" s="238"/>
      <c r="F36" s="281" t="s">
        <v>316</v>
      </c>
      <c r="G36" s="231" t="s">
        <v>299</v>
      </c>
      <c r="H36" s="231" t="s">
        <v>300</v>
      </c>
      <c r="I36" s="250" t="s">
        <v>301</v>
      </c>
    </row>
    <row r="37" spans="2:9" ht="16.5" thickTop="1" thickBot="1" x14ac:dyDescent="0.3">
      <c r="B37" s="618"/>
      <c r="C37" s="618"/>
      <c r="E37" s="242">
        <f>+E35+1</f>
        <v>13</v>
      </c>
      <c r="F37" s="243" t="s">
        <v>317</v>
      </c>
      <c r="G37" s="244">
        <v>4</v>
      </c>
      <c r="H37" s="245">
        <f t="shared" ref="H37:H44" si="1">ROUND(G37*$J$6,-3)</f>
        <v>0</v>
      </c>
      <c r="I37" s="246">
        <v>0.04</v>
      </c>
    </row>
    <row r="38" spans="2:9" ht="16.5" thickTop="1" thickBot="1" x14ac:dyDescent="0.3">
      <c r="B38" s="618"/>
      <c r="C38" s="618"/>
      <c r="E38" s="242">
        <f>+E37+1</f>
        <v>14</v>
      </c>
      <c r="F38" s="243" t="s">
        <v>318</v>
      </c>
      <c r="G38" s="244">
        <v>4</v>
      </c>
      <c r="H38" s="245">
        <f t="shared" si="1"/>
        <v>0</v>
      </c>
      <c r="I38" s="246">
        <v>0.06</v>
      </c>
    </row>
    <row r="39" spans="2:9" ht="16.5" thickTop="1" thickBot="1" x14ac:dyDescent="0.3">
      <c r="B39" s="618"/>
      <c r="C39" s="618"/>
      <c r="E39" s="242">
        <f t="shared" ref="E39:E51" si="2">+E38+1</f>
        <v>15</v>
      </c>
      <c r="F39" s="243" t="s">
        <v>319</v>
      </c>
      <c r="G39" s="244">
        <v>4</v>
      </c>
      <c r="H39" s="245">
        <f t="shared" si="1"/>
        <v>0</v>
      </c>
      <c r="I39" s="246">
        <v>0.01</v>
      </c>
    </row>
    <row r="40" spans="2:9" ht="16.5" thickTop="1" thickBot="1" x14ac:dyDescent="0.3">
      <c r="B40" s="618"/>
      <c r="C40" s="618"/>
      <c r="E40" s="242">
        <f>+E39+1</f>
        <v>16</v>
      </c>
      <c r="F40" s="243" t="s">
        <v>320</v>
      </c>
      <c r="G40" s="244">
        <v>27</v>
      </c>
      <c r="H40" s="245">
        <f t="shared" si="1"/>
        <v>0</v>
      </c>
      <c r="I40" s="251">
        <v>3.5000000000000003E-2</v>
      </c>
    </row>
    <row r="41" spans="2:9" ht="16.5" thickTop="1" thickBot="1" x14ac:dyDescent="0.3">
      <c r="B41" s="618"/>
      <c r="C41" s="618"/>
      <c r="E41" s="242">
        <f t="shared" si="2"/>
        <v>17</v>
      </c>
      <c r="F41" s="243" t="s">
        <v>321</v>
      </c>
      <c r="G41" s="244">
        <v>4</v>
      </c>
      <c r="H41" s="245">
        <f t="shared" si="1"/>
        <v>0</v>
      </c>
      <c r="I41" s="246">
        <v>0.01</v>
      </c>
    </row>
    <row r="42" spans="2:9" ht="16.5" thickTop="1" thickBot="1" x14ac:dyDescent="0.3">
      <c r="B42" s="618"/>
      <c r="C42" s="618"/>
      <c r="E42" s="242">
        <f t="shared" si="2"/>
        <v>18</v>
      </c>
      <c r="F42" s="243" t="s">
        <v>322</v>
      </c>
      <c r="G42" s="244">
        <v>4</v>
      </c>
      <c r="H42" s="245">
        <f t="shared" si="1"/>
        <v>0</v>
      </c>
      <c r="I42" s="246">
        <v>0.01</v>
      </c>
    </row>
    <row r="43" spans="2:9" ht="16.5" thickTop="1" thickBot="1" x14ac:dyDescent="0.3">
      <c r="B43" s="618"/>
      <c r="C43" s="618"/>
      <c r="E43" s="242">
        <f t="shared" si="2"/>
        <v>19</v>
      </c>
      <c r="F43" s="243" t="s">
        <v>323</v>
      </c>
      <c r="G43" s="244">
        <v>4</v>
      </c>
      <c r="H43" s="245">
        <f t="shared" si="1"/>
        <v>0</v>
      </c>
      <c r="I43" s="246">
        <v>0.02</v>
      </c>
    </row>
    <row r="44" spans="2:9" ht="35.25" thickTop="1" thickBot="1" x14ac:dyDescent="0.3">
      <c r="B44" s="618"/>
      <c r="C44" s="618"/>
      <c r="E44" s="242">
        <f t="shared" si="2"/>
        <v>20</v>
      </c>
      <c r="F44" s="243" t="s">
        <v>324</v>
      </c>
      <c r="G44" s="244">
        <v>4</v>
      </c>
      <c r="H44" s="245">
        <f t="shared" si="1"/>
        <v>0</v>
      </c>
      <c r="I44" s="246">
        <v>0.02</v>
      </c>
    </row>
    <row r="45" spans="2:9" ht="16.5" thickTop="1" thickBot="1" x14ac:dyDescent="0.3">
      <c r="B45" s="618"/>
      <c r="C45" s="618"/>
      <c r="E45" s="242">
        <f t="shared" si="2"/>
        <v>21</v>
      </c>
      <c r="F45" s="243" t="s">
        <v>325</v>
      </c>
      <c r="G45" s="244" t="s">
        <v>305</v>
      </c>
      <c r="H45" s="245">
        <f>H44</f>
        <v>0</v>
      </c>
      <c r="I45" s="246">
        <v>0.04</v>
      </c>
    </row>
    <row r="46" spans="2:9" ht="16.5" thickTop="1" thickBot="1" x14ac:dyDescent="0.3">
      <c r="B46" s="618"/>
      <c r="C46" s="618"/>
      <c r="E46" s="242">
        <v>22</v>
      </c>
      <c r="F46" s="243" t="s">
        <v>326</v>
      </c>
      <c r="G46" s="244" t="s">
        <v>305</v>
      </c>
      <c r="H46" s="245">
        <f>H44</f>
        <v>0</v>
      </c>
      <c r="I46" s="246">
        <v>0.04</v>
      </c>
    </row>
    <row r="47" spans="2:9" ht="16.5" thickTop="1" thickBot="1" x14ac:dyDescent="0.3">
      <c r="B47" s="618"/>
      <c r="C47" s="618"/>
      <c r="E47" s="242">
        <f t="shared" si="2"/>
        <v>23</v>
      </c>
      <c r="F47" s="243" t="s">
        <v>327</v>
      </c>
      <c r="G47" s="244">
        <v>27</v>
      </c>
      <c r="H47" s="245">
        <f>ROUND(G47*$J$6,-3)</f>
        <v>0</v>
      </c>
      <c r="I47" s="251">
        <v>3.5000000000000003E-2</v>
      </c>
    </row>
    <row r="48" spans="2:9" ht="16.5" thickTop="1" thickBot="1" x14ac:dyDescent="0.3">
      <c r="B48" s="618"/>
      <c r="C48" s="618"/>
      <c r="E48" s="242">
        <v>24</v>
      </c>
      <c r="F48" s="243" t="s">
        <v>328</v>
      </c>
      <c r="G48" s="244">
        <v>27</v>
      </c>
      <c r="H48" s="245">
        <f>ROUND(G48*$J$6,-3)</f>
        <v>0</v>
      </c>
      <c r="I48" s="246">
        <v>0.04</v>
      </c>
    </row>
    <row r="49" spans="2:9" ht="16.5" thickTop="1" thickBot="1" x14ac:dyDescent="0.3">
      <c r="B49" s="618"/>
      <c r="C49" s="618"/>
      <c r="E49" s="242">
        <f t="shared" si="2"/>
        <v>25</v>
      </c>
      <c r="F49" s="243" t="s">
        <v>329</v>
      </c>
      <c r="G49" s="244">
        <v>27</v>
      </c>
      <c r="H49" s="245">
        <f>ROUND(G49*$J$6,-3)</f>
        <v>0</v>
      </c>
      <c r="I49" s="251">
        <v>3.5000000000000003E-2</v>
      </c>
    </row>
    <row r="50" spans="2:9" ht="16.5" thickTop="1" thickBot="1" x14ac:dyDescent="0.3">
      <c r="B50" s="618"/>
      <c r="C50" s="618"/>
      <c r="E50" s="242">
        <v>26</v>
      </c>
      <c r="F50" s="243" t="s">
        <v>330</v>
      </c>
      <c r="G50" s="244">
        <v>4</v>
      </c>
      <c r="H50" s="245">
        <f>ROUND(G50*$J$6,-3)</f>
        <v>0</v>
      </c>
      <c r="I50" s="251">
        <v>3.5000000000000003E-2</v>
      </c>
    </row>
    <row r="51" spans="2:9" ht="16.5" thickTop="1" thickBot="1" x14ac:dyDescent="0.3">
      <c r="B51" s="618"/>
      <c r="C51" s="618"/>
      <c r="E51" s="242">
        <f t="shared" si="2"/>
        <v>27</v>
      </c>
      <c r="F51" s="243" t="s">
        <v>331</v>
      </c>
      <c r="G51" s="244">
        <v>27</v>
      </c>
      <c r="H51" s="245">
        <f>ROUND(G51*$J$6,-3)</f>
        <v>0</v>
      </c>
      <c r="I51" s="246">
        <v>0.02</v>
      </c>
    </row>
    <row r="52" spans="2:9" ht="17.25" thickTop="1" thickBot="1" x14ac:dyDescent="0.3">
      <c r="B52" s="618"/>
      <c r="C52" s="618"/>
      <c r="E52" s="238"/>
      <c r="F52" s="282" t="s">
        <v>332</v>
      </c>
      <c r="G52" s="252" t="s">
        <v>299</v>
      </c>
      <c r="H52" s="252" t="s">
        <v>300</v>
      </c>
      <c r="I52" s="253" t="s">
        <v>301</v>
      </c>
    </row>
    <row r="53" spans="2:9" ht="16.5" thickTop="1" thickBot="1" x14ac:dyDescent="0.3">
      <c r="B53" s="618"/>
      <c r="C53" s="618"/>
      <c r="E53" s="242">
        <f>+E51+1</f>
        <v>28</v>
      </c>
      <c r="F53" s="243" t="s">
        <v>333</v>
      </c>
      <c r="G53" s="244">
        <v>27</v>
      </c>
      <c r="H53" s="245">
        <f>ROUND(G53*$J$6,-3)</f>
        <v>0</v>
      </c>
      <c r="I53" s="254">
        <v>2.5000000000000001E-2</v>
      </c>
    </row>
    <row r="54" spans="2:9" ht="16.5" thickTop="1" thickBot="1" x14ac:dyDescent="0.3">
      <c r="B54" s="618"/>
      <c r="C54" s="618"/>
      <c r="E54" s="242">
        <f t="shared" ref="E54:E63" si="3">+E53+1</f>
        <v>29</v>
      </c>
      <c r="F54" s="243" t="s">
        <v>334</v>
      </c>
      <c r="G54" s="244">
        <v>27</v>
      </c>
      <c r="H54" s="245">
        <f>ROUND(G54*$J$6,-3)</f>
        <v>0</v>
      </c>
      <c r="I54" s="251">
        <v>3.5000000000000003E-2</v>
      </c>
    </row>
    <row r="55" spans="2:9" ht="16.5" thickTop="1" thickBot="1" x14ac:dyDescent="0.3">
      <c r="B55" s="618"/>
      <c r="C55" s="618"/>
      <c r="E55" s="242">
        <f t="shared" si="3"/>
        <v>30</v>
      </c>
      <c r="F55" s="243" t="s">
        <v>335</v>
      </c>
      <c r="G55" s="244">
        <v>92</v>
      </c>
      <c r="H55" s="245">
        <f>ROUND(G55*$J$6,-3)</f>
        <v>0</v>
      </c>
      <c r="I55" s="255" t="s">
        <v>336</v>
      </c>
    </row>
    <row r="56" spans="2:9" ht="16.5" thickTop="1" thickBot="1" x14ac:dyDescent="0.3">
      <c r="B56" s="618"/>
      <c r="C56" s="618"/>
      <c r="E56" s="242">
        <f t="shared" si="3"/>
        <v>31</v>
      </c>
      <c r="F56" s="243" t="s">
        <v>337</v>
      </c>
      <c r="G56" s="244">
        <v>160</v>
      </c>
      <c r="H56" s="245">
        <f>ROUND(G56*$J$6,-3)</f>
        <v>0</v>
      </c>
      <c r="I56" s="255" t="s">
        <v>338</v>
      </c>
    </row>
    <row r="57" spans="2:9" ht="16.5" thickTop="1" thickBot="1" x14ac:dyDescent="0.3">
      <c r="B57" s="618"/>
      <c r="C57" s="618"/>
      <c r="E57" s="242">
        <f t="shared" si="3"/>
        <v>32</v>
      </c>
      <c r="F57" s="243" t="s">
        <v>339</v>
      </c>
      <c r="G57" s="244" t="s">
        <v>305</v>
      </c>
      <c r="H57" s="245">
        <v>1</v>
      </c>
      <c r="I57" s="255" t="s">
        <v>340</v>
      </c>
    </row>
    <row r="58" spans="2:9" ht="16.5" thickTop="1" thickBot="1" x14ac:dyDescent="0.3">
      <c r="B58" s="618"/>
      <c r="C58" s="618"/>
      <c r="E58" s="242">
        <f t="shared" si="3"/>
        <v>33</v>
      </c>
      <c r="F58" s="243" t="s">
        <v>341</v>
      </c>
      <c r="G58" s="244" t="s">
        <v>305</v>
      </c>
      <c r="H58" s="245">
        <v>1</v>
      </c>
      <c r="I58" s="246">
        <v>0.01</v>
      </c>
    </row>
    <row r="59" spans="2:9" ht="16.5" thickTop="1" thickBot="1" x14ac:dyDescent="0.3">
      <c r="B59" s="618"/>
      <c r="C59" s="618"/>
      <c r="E59" s="242">
        <f t="shared" si="3"/>
        <v>34</v>
      </c>
      <c r="F59" s="243" t="s">
        <v>342</v>
      </c>
      <c r="G59" s="244" t="s">
        <v>305</v>
      </c>
      <c r="H59" s="245">
        <v>1</v>
      </c>
      <c r="I59" s="246">
        <v>0.01</v>
      </c>
    </row>
    <row r="60" spans="2:9" ht="16.5" thickTop="1" thickBot="1" x14ac:dyDescent="0.3">
      <c r="B60" s="618"/>
      <c r="C60" s="618"/>
      <c r="E60" s="242">
        <f t="shared" si="3"/>
        <v>35</v>
      </c>
      <c r="F60" s="243" t="s">
        <v>343</v>
      </c>
      <c r="G60" s="256">
        <v>20000</v>
      </c>
      <c r="H60" s="245">
        <f>+I21*G60</f>
        <v>828240000</v>
      </c>
      <c r="I60" s="246">
        <v>0.01</v>
      </c>
    </row>
    <row r="61" spans="2:9" ht="16.5" thickTop="1" thickBot="1" x14ac:dyDescent="0.3">
      <c r="B61" s="618"/>
      <c r="C61" s="618"/>
      <c r="E61" s="242">
        <f t="shared" si="3"/>
        <v>36</v>
      </c>
      <c r="F61" s="243" t="s">
        <v>344</v>
      </c>
      <c r="G61" s="256">
        <v>20000</v>
      </c>
      <c r="H61" s="245">
        <f>ROUND(G61*$J$6,-3)</f>
        <v>0</v>
      </c>
      <c r="I61" s="251">
        <v>2.5000000000000001E-2</v>
      </c>
    </row>
    <row r="62" spans="2:9" ht="16.5" thickTop="1" thickBot="1" x14ac:dyDescent="0.3">
      <c r="B62" s="618"/>
      <c r="C62" s="618"/>
      <c r="E62" s="242">
        <f t="shared" si="3"/>
        <v>37</v>
      </c>
      <c r="F62" s="243" t="s">
        <v>345</v>
      </c>
      <c r="G62" s="257">
        <v>27</v>
      </c>
      <c r="H62" s="245">
        <f>ROUND(G62*$J$6,-3)</f>
        <v>0</v>
      </c>
      <c r="I62" s="251">
        <v>2.5000000000000001E-2</v>
      </c>
    </row>
    <row r="63" spans="2:9" ht="24" thickTop="1" thickBot="1" x14ac:dyDescent="0.3">
      <c r="B63" s="618"/>
      <c r="C63" s="618"/>
      <c r="E63" s="242">
        <f t="shared" si="3"/>
        <v>38</v>
      </c>
      <c r="F63" s="243" t="s">
        <v>346</v>
      </c>
      <c r="G63" s="244" t="s">
        <v>305</v>
      </c>
      <c r="H63" s="245">
        <v>1</v>
      </c>
      <c r="I63" s="246">
        <v>0.01</v>
      </c>
    </row>
    <row r="64" spans="2:9" ht="22.5" customHeight="1" thickTop="1" thickBot="1" x14ac:dyDescent="0.3">
      <c r="B64" s="618"/>
      <c r="C64" s="618"/>
      <c r="E64" s="238"/>
      <c r="F64" s="281" t="s">
        <v>389</v>
      </c>
      <c r="G64" s="252" t="s">
        <v>299</v>
      </c>
      <c r="H64" s="252" t="s">
        <v>300</v>
      </c>
      <c r="I64" s="250" t="s">
        <v>301</v>
      </c>
    </row>
    <row r="65" spans="2:9" ht="24" thickTop="1" thickBot="1" x14ac:dyDescent="0.3">
      <c r="B65" s="618"/>
      <c r="C65" s="618"/>
      <c r="E65" s="242">
        <v>39</v>
      </c>
      <c r="F65" s="273" t="s">
        <v>391</v>
      </c>
      <c r="G65" s="284">
        <v>1090</v>
      </c>
      <c r="H65" s="245">
        <f>I21*1090</f>
        <v>45139080</v>
      </c>
      <c r="I65" s="266">
        <v>0.15</v>
      </c>
    </row>
    <row r="66" spans="2:9" ht="16.5" thickTop="1" thickBot="1" x14ac:dyDescent="0.3">
      <c r="B66" s="618"/>
      <c r="C66" s="618"/>
      <c r="E66" s="242">
        <v>40</v>
      </c>
      <c r="F66" s="243" t="s">
        <v>347</v>
      </c>
      <c r="G66" s="244" t="s">
        <v>305</v>
      </c>
      <c r="H66" s="245">
        <v>1</v>
      </c>
      <c r="I66" s="254">
        <v>1.4999999999999999E-2</v>
      </c>
    </row>
    <row r="67" spans="2:9" ht="16.5" thickTop="1" thickBot="1" x14ac:dyDescent="0.3">
      <c r="B67" s="618"/>
      <c r="C67" s="618"/>
      <c r="E67" s="242">
        <v>42</v>
      </c>
      <c r="F67" s="243" t="s">
        <v>348</v>
      </c>
      <c r="G67" s="244">
        <v>48</v>
      </c>
      <c r="H67" s="245">
        <f>ROUND(G67*$J$6,-3)</f>
        <v>0</v>
      </c>
      <c r="I67" s="246">
        <v>0.2</v>
      </c>
    </row>
    <row r="68" spans="2:9" ht="16.5" thickTop="1" thickBot="1" x14ac:dyDescent="0.3">
      <c r="B68" s="618"/>
      <c r="C68" s="618"/>
      <c r="E68" s="242">
        <f>+E67+1</f>
        <v>43</v>
      </c>
      <c r="F68" s="243" t="s">
        <v>349</v>
      </c>
      <c r="G68" s="244" t="s">
        <v>305</v>
      </c>
      <c r="H68" s="245">
        <v>1</v>
      </c>
      <c r="I68" s="246">
        <v>0.1</v>
      </c>
    </row>
    <row r="69" spans="2:9" ht="16.5" thickTop="1" thickBot="1" x14ac:dyDescent="0.3">
      <c r="B69" s="618"/>
      <c r="C69" s="618"/>
      <c r="E69" s="242">
        <f>+E68+1</f>
        <v>44</v>
      </c>
      <c r="F69" s="243" t="s">
        <v>350</v>
      </c>
      <c r="G69" s="244">
        <v>5</v>
      </c>
      <c r="H69" s="245">
        <f>ROUND(G69*$J$6,-3)</f>
        <v>0</v>
      </c>
      <c r="I69" s="246">
        <v>0.03</v>
      </c>
    </row>
    <row r="70" spans="2:9" ht="24" thickTop="1" thickBot="1" x14ac:dyDescent="0.3">
      <c r="B70" s="618"/>
      <c r="C70" s="618"/>
      <c r="E70" s="242">
        <f t="shared" ref="E70:E75" si="4">+E69+1</f>
        <v>45</v>
      </c>
      <c r="F70" s="243" t="s">
        <v>351</v>
      </c>
      <c r="G70" s="244" t="s">
        <v>305</v>
      </c>
      <c r="H70" s="245">
        <v>1</v>
      </c>
      <c r="I70" s="246">
        <v>0.2</v>
      </c>
    </row>
    <row r="71" spans="2:9" ht="16.5" thickTop="1" thickBot="1" x14ac:dyDescent="0.3">
      <c r="B71" s="618"/>
      <c r="C71" s="618"/>
      <c r="E71" s="242">
        <f t="shared" si="4"/>
        <v>46</v>
      </c>
      <c r="F71" s="243" t="s">
        <v>352</v>
      </c>
      <c r="G71" s="244" t="s">
        <v>305</v>
      </c>
      <c r="H71" s="245">
        <v>1</v>
      </c>
      <c r="I71" s="246">
        <v>0.04</v>
      </c>
    </row>
    <row r="72" spans="2:9" ht="16.5" thickTop="1" thickBot="1" x14ac:dyDescent="0.3">
      <c r="B72" s="618"/>
      <c r="C72" s="618"/>
      <c r="E72" s="242">
        <f t="shared" si="4"/>
        <v>47</v>
      </c>
      <c r="F72" s="258" t="s">
        <v>353</v>
      </c>
      <c r="G72" s="244" t="s">
        <v>305</v>
      </c>
      <c r="H72" s="245">
        <v>1</v>
      </c>
      <c r="I72" s="248">
        <v>7.0000000000000007E-2</v>
      </c>
    </row>
    <row r="73" spans="2:9" ht="16.5" thickTop="1" thickBot="1" x14ac:dyDescent="0.3">
      <c r="B73" s="618"/>
      <c r="C73" s="618"/>
      <c r="E73" s="242">
        <f t="shared" si="4"/>
        <v>48</v>
      </c>
      <c r="F73" s="243" t="s">
        <v>354</v>
      </c>
      <c r="G73" s="244" t="s">
        <v>305</v>
      </c>
      <c r="H73" s="245">
        <v>1</v>
      </c>
      <c r="I73" s="248">
        <v>0.04</v>
      </c>
    </row>
    <row r="74" spans="2:9" ht="16.5" thickTop="1" thickBot="1" x14ac:dyDescent="0.3">
      <c r="B74" s="618"/>
      <c r="C74" s="618"/>
      <c r="E74" s="242">
        <f t="shared" si="4"/>
        <v>49</v>
      </c>
      <c r="F74" s="243" t="s">
        <v>355</v>
      </c>
      <c r="G74" s="244" t="s">
        <v>305</v>
      </c>
      <c r="H74" s="245">
        <v>1</v>
      </c>
      <c r="I74" s="249">
        <v>2.5000000000000001E-2</v>
      </c>
    </row>
    <row r="75" spans="2:9" ht="16.5" thickTop="1" thickBot="1" x14ac:dyDescent="0.3">
      <c r="B75" s="618"/>
      <c r="C75" s="618"/>
      <c r="E75" s="242">
        <f t="shared" si="4"/>
        <v>50</v>
      </c>
      <c r="F75" s="243" t="s">
        <v>356</v>
      </c>
      <c r="G75" s="244" t="s">
        <v>305</v>
      </c>
      <c r="H75" s="245">
        <v>1</v>
      </c>
      <c r="I75" s="249">
        <v>2.5000000000000001E-2</v>
      </c>
    </row>
    <row r="76" spans="2:9" ht="24" thickTop="1" thickBot="1" x14ac:dyDescent="0.3">
      <c r="B76" s="618"/>
      <c r="C76" s="618"/>
      <c r="E76" s="259">
        <f>+E75+1</f>
        <v>51</v>
      </c>
      <c r="F76" s="260" t="s">
        <v>357</v>
      </c>
      <c r="G76" s="261" t="s">
        <v>305</v>
      </c>
      <c r="H76" s="262">
        <v>1</v>
      </c>
      <c r="I76" s="263">
        <v>0.04</v>
      </c>
    </row>
    <row r="77" spans="2:9" ht="22.5" customHeight="1" thickTop="1" thickBot="1" x14ac:dyDescent="0.3">
      <c r="B77" s="618"/>
      <c r="C77" s="618"/>
      <c r="E77" s="238"/>
      <c r="F77" s="280" t="s">
        <v>358</v>
      </c>
      <c r="G77" s="252" t="s">
        <v>299</v>
      </c>
      <c r="H77" s="252" t="s">
        <v>300</v>
      </c>
      <c r="I77" s="250" t="s">
        <v>301</v>
      </c>
    </row>
    <row r="78" spans="2:9" ht="24" thickTop="1" thickBot="1" x14ac:dyDescent="0.3">
      <c r="B78" s="618"/>
      <c r="C78" s="618"/>
      <c r="E78" s="264">
        <f>+E76+1</f>
        <v>52</v>
      </c>
      <c r="F78" s="273" t="s">
        <v>359</v>
      </c>
      <c r="G78" s="265" t="s">
        <v>305</v>
      </c>
      <c r="H78" s="245">
        <f>H76</f>
        <v>1</v>
      </c>
      <c r="I78" s="266">
        <v>0.2</v>
      </c>
    </row>
    <row r="79" spans="2:9" ht="24" thickTop="1" thickBot="1" x14ac:dyDescent="0.3">
      <c r="B79" s="618"/>
      <c r="C79" s="618"/>
      <c r="E79" s="264">
        <v>51</v>
      </c>
      <c r="F79" s="243" t="s">
        <v>360</v>
      </c>
      <c r="G79" s="244" t="s">
        <v>305</v>
      </c>
      <c r="H79" s="245">
        <v>1</v>
      </c>
      <c r="I79" s="246">
        <v>0.2</v>
      </c>
    </row>
    <row r="80" spans="2:9" ht="16.5" thickTop="1" thickBot="1" x14ac:dyDescent="0.3">
      <c r="B80" s="618"/>
      <c r="C80" s="618"/>
      <c r="E80" s="264">
        <f>+E79+1</f>
        <v>52</v>
      </c>
      <c r="F80" s="243" t="s">
        <v>361</v>
      </c>
      <c r="G80" s="244" t="s">
        <v>305</v>
      </c>
      <c r="H80" s="245">
        <v>1</v>
      </c>
      <c r="I80" s="246">
        <v>0.2</v>
      </c>
    </row>
    <row r="81" spans="2:9" ht="16.5" thickTop="1" thickBot="1" x14ac:dyDescent="0.3">
      <c r="B81" s="618"/>
      <c r="C81" s="618"/>
      <c r="E81" s="264">
        <f t="shared" ref="E81:E101" si="5">+E80+1</f>
        <v>53</v>
      </c>
      <c r="F81" s="243" t="s">
        <v>362</v>
      </c>
      <c r="G81" s="244" t="s">
        <v>305</v>
      </c>
      <c r="H81" s="245">
        <v>1</v>
      </c>
      <c r="I81" s="246">
        <v>0.2</v>
      </c>
    </row>
    <row r="82" spans="2:9" ht="16.5" thickTop="1" thickBot="1" x14ac:dyDescent="0.3">
      <c r="B82" s="618"/>
      <c r="C82" s="618"/>
      <c r="E82" s="264">
        <f t="shared" si="5"/>
        <v>54</v>
      </c>
      <c r="F82" s="243" t="s">
        <v>363</v>
      </c>
      <c r="G82" s="244" t="s">
        <v>305</v>
      </c>
      <c r="H82" s="245">
        <v>1</v>
      </c>
      <c r="I82" s="246">
        <v>0.08</v>
      </c>
    </row>
    <row r="83" spans="2:9" ht="24" thickTop="1" thickBot="1" x14ac:dyDescent="0.3">
      <c r="B83" s="618"/>
      <c r="C83" s="618"/>
      <c r="E83" s="264">
        <f t="shared" si="5"/>
        <v>55</v>
      </c>
      <c r="F83" s="243" t="s">
        <v>364</v>
      </c>
      <c r="G83" s="244" t="s">
        <v>305</v>
      </c>
      <c r="H83" s="245">
        <v>1</v>
      </c>
      <c r="I83" s="246">
        <v>0.01</v>
      </c>
    </row>
    <row r="84" spans="2:9" ht="24" thickTop="1" thickBot="1" x14ac:dyDescent="0.3">
      <c r="B84" s="618"/>
      <c r="C84" s="618"/>
      <c r="E84" s="264">
        <f t="shared" si="5"/>
        <v>56</v>
      </c>
      <c r="F84" s="243" t="s">
        <v>365</v>
      </c>
      <c r="G84" s="244" t="s">
        <v>305</v>
      </c>
      <c r="H84" s="245">
        <v>1</v>
      </c>
      <c r="I84" s="246">
        <v>0.02</v>
      </c>
    </row>
    <row r="85" spans="2:9" ht="24" thickTop="1" thickBot="1" x14ac:dyDescent="0.3">
      <c r="B85" s="618"/>
      <c r="C85" s="618"/>
      <c r="E85" s="264">
        <f t="shared" si="5"/>
        <v>57</v>
      </c>
      <c r="F85" s="243" t="s">
        <v>366</v>
      </c>
      <c r="G85" s="244" t="s">
        <v>305</v>
      </c>
      <c r="H85" s="245">
        <v>1</v>
      </c>
      <c r="I85" s="246">
        <v>7.0000000000000007E-2</v>
      </c>
    </row>
    <row r="86" spans="2:9" ht="46.5" thickTop="1" thickBot="1" x14ac:dyDescent="0.3">
      <c r="B86" s="618"/>
      <c r="C86" s="618"/>
      <c r="E86" s="264">
        <f t="shared" si="5"/>
        <v>58</v>
      </c>
      <c r="F86" s="243" t="s">
        <v>367</v>
      </c>
      <c r="G86" s="244" t="s">
        <v>305</v>
      </c>
      <c r="H86" s="245">
        <v>1</v>
      </c>
      <c r="I86" s="246">
        <v>0.15</v>
      </c>
    </row>
    <row r="87" spans="2:9" ht="24" thickTop="1" thickBot="1" x14ac:dyDescent="0.3">
      <c r="B87" s="618"/>
      <c r="C87" s="618"/>
      <c r="E87" s="264">
        <f t="shared" si="5"/>
        <v>59</v>
      </c>
      <c r="F87" s="243" t="s">
        <v>368</v>
      </c>
      <c r="G87" s="244" t="s">
        <v>305</v>
      </c>
      <c r="H87" s="245">
        <v>1</v>
      </c>
      <c r="I87" s="246">
        <v>0.01</v>
      </c>
    </row>
    <row r="88" spans="2:9" ht="35.25" thickTop="1" thickBot="1" x14ac:dyDescent="0.3">
      <c r="B88" s="618"/>
      <c r="C88" s="618"/>
      <c r="E88" s="264">
        <f>+E87+1</f>
        <v>60</v>
      </c>
      <c r="F88" s="243" t="s">
        <v>369</v>
      </c>
      <c r="G88" s="244" t="s">
        <v>305</v>
      </c>
      <c r="H88" s="245">
        <v>1</v>
      </c>
      <c r="I88" s="246">
        <v>0.05</v>
      </c>
    </row>
    <row r="89" spans="2:9" ht="16.5" thickTop="1" thickBot="1" x14ac:dyDescent="0.3">
      <c r="B89" s="618"/>
      <c r="C89" s="618"/>
      <c r="E89" s="264">
        <f t="shared" si="5"/>
        <v>61</v>
      </c>
      <c r="F89" s="243" t="s">
        <v>370</v>
      </c>
      <c r="G89" s="244" t="s">
        <v>305</v>
      </c>
      <c r="H89" s="245">
        <v>1</v>
      </c>
      <c r="I89" s="246">
        <v>0.01</v>
      </c>
    </row>
    <row r="90" spans="2:9" ht="24" thickTop="1" thickBot="1" x14ac:dyDescent="0.3">
      <c r="B90" s="618"/>
      <c r="C90" s="618"/>
      <c r="E90" s="264">
        <f t="shared" si="5"/>
        <v>62</v>
      </c>
      <c r="F90" s="243" t="s">
        <v>371</v>
      </c>
      <c r="G90" s="244" t="s">
        <v>305</v>
      </c>
      <c r="H90" s="245">
        <v>1</v>
      </c>
      <c r="I90" s="246">
        <v>0.33</v>
      </c>
    </row>
    <row r="91" spans="2:9" ht="16.5" thickTop="1" thickBot="1" x14ac:dyDescent="0.3">
      <c r="B91" s="618"/>
      <c r="C91" s="618"/>
      <c r="E91" s="264">
        <f t="shared" si="5"/>
        <v>63</v>
      </c>
      <c r="F91" s="243" t="s">
        <v>372</v>
      </c>
      <c r="G91" s="244" t="s">
        <v>305</v>
      </c>
      <c r="H91" s="245">
        <v>1</v>
      </c>
      <c r="I91" s="246">
        <v>0.2</v>
      </c>
    </row>
    <row r="92" spans="2:9" ht="24" thickTop="1" thickBot="1" x14ac:dyDescent="0.3">
      <c r="B92" s="618"/>
      <c r="C92" s="618"/>
      <c r="E92" s="264">
        <f t="shared" si="5"/>
        <v>64</v>
      </c>
      <c r="F92" s="243" t="s">
        <v>373</v>
      </c>
      <c r="G92" s="244" t="s">
        <v>305</v>
      </c>
      <c r="H92" s="245">
        <v>1</v>
      </c>
      <c r="I92" s="246">
        <v>0.05</v>
      </c>
    </row>
    <row r="93" spans="2:9" ht="16.5" thickTop="1" thickBot="1" x14ac:dyDescent="0.3">
      <c r="B93" s="618"/>
      <c r="C93" s="618"/>
      <c r="E93" s="264">
        <v>65</v>
      </c>
      <c r="F93" s="243" t="s">
        <v>747</v>
      </c>
      <c r="G93" s="244" t="s">
        <v>305</v>
      </c>
      <c r="H93" s="245">
        <v>1</v>
      </c>
      <c r="I93" s="246">
        <v>0.1</v>
      </c>
    </row>
    <row r="94" spans="2:9" ht="16.5" thickTop="1" thickBot="1" x14ac:dyDescent="0.3">
      <c r="B94" s="618"/>
      <c r="C94" s="618"/>
      <c r="E94" s="264">
        <v>66</v>
      </c>
      <c r="F94" s="243" t="s">
        <v>374</v>
      </c>
      <c r="G94" s="244" t="s">
        <v>305</v>
      </c>
      <c r="H94" s="245">
        <v>1</v>
      </c>
      <c r="I94" s="246">
        <v>0.15</v>
      </c>
    </row>
    <row r="95" spans="2:9" ht="16.5" thickTop="1" thickBot="1" x14ac:dyDescent="0.3">
      <c r="B95" s="618"/>
      <c r="C95" s="618"/>
      <c r="E95" s="264">
        <f t="shared" si="5"/>
        <v>67</v>
      </c>
      <c r="F95" s="243" t="s">
        <v>748</v>
      </c>
      <c r="G95" s="244" t="s">
        <v>305</v>
      </c>
      <c r="H95" s="245">
        <v>1</v>
      </c>
      <c r="I95" s="246">
        <v>0.15</v>
      </c>
    </row>
    <row r="96" spans="2:9" ht="16.5" thickTop="1" thickBot="1" x14ac:dyDescent="0.3">
      <c r="B96" s="618"/>
      <c r="C96" s="618"/>
      <c r="E96" s="238"/>
      <c r="F96" s="231" t="s">
        <v>375</v>
      </c>
      <c r="G96" s="267" t="s">
        <v>299</v>
      </c>
      <c r="H96" s="268" t="s">
        <v>300</v>
      </c>
      <c r="I96" s="253" t="s">
        <v>301</v>
      </c>
    </row>
    <row r="97" spans="2:9" ht="35.25" thickTop="1" thickBot="1" x14ac:dyDescent="0.3">
      <c r="B97" s="618"/>
      <c r="C97" s="618"/>
      <c r="E97" s="264">
        <f>+E95+1</f>
        <v>68</v>
      </c>
      <c r="F97" s="243" t="s">
        <v>376</v>
      </c>
      <c r="G97" s="244" t="s">
        <v>305</v>
      </c>
      <c r="H97" s="244" t="s">
        <v>377</v>
      </c>
      <c r="I97" s="269" t="s">
        <v>378</v>
      </c>
    </row>
    <row r="98" spans="2:9" ht="35.25" thickTop="1" thickBot="1" x14ac:dyDescent="0.3">
      <c r="B98" s="618"/>
      <c r="C98" s="618"/>
      <c r="E98" s="264">
        <f t="shared" si="5"/>
        <v>69</v>
      </c>
      <c r="F98" s="243" t="s">
        <v>379</v>
      </c>
      <c r="G98" s="244" t="s">
        <v>305</v>
      </c>
      <c r="H98" s="244" t="s">
        <v>377</v>
      </c>
      <c r="I98" s="255" t="s">
        <v>380</v>
      </c>
    </row>
    <row r="99" spans="2:9" ht="35.25" thickTop="1" thickBot="1" x14ac:dyDescent="0.3">
      <c r="B99" s="618"/>
      <c r="C99" s="618"/>
      <c r="E99" s="264">
        <f t="shared" si="5"/>
        <v>70</v>
      </c>
      <c r="F99" s="243" t="s">
        <v>381</v>
      </c>
      <c r="G99" s="244" t="s">
        <v>305</v>
      </c>
      <c r="H99" s="244" t="s">
        <v>377</v>
      </c>
      <c r="I99" s="255" t="s">
        <v>380</v>
      </c>
    </row>
    <row r="100" spans="2:9" ht="35.25" thickTop="1" thickBot="1" x14ac:dyDescent="0.3">
      <c r="B100" s="618"/>
      <c r="C100" s="618"/>
      <c r="E100" s="264">
        <f t="shared" si="5"/>
        <v>71</v>
      </c>
      <c r="F100" s="243" t="s">
        <v>382</v>
      </c>
      <c r="G100" s="244" t="s">
        <v>305</v>
      </c>
      <c r="H100" s="244" t="s">
        <v>377</v>
      </c>
      <c r="I100" s="255" t="s">
        <v>380</v>
      </c>
    </row>
    <row r="101" spans="2:9" ht="35.25" thickTop="1" thickBot="1" x14ac:dyDescent="0.3">
      <c r="B101" s="618"/>
      <c r="C101" s="618"/>
      <c r="E101" s="264">
        <f t="shared" si="5"/>
        <v>72</v>
      </c>
      <c r="F101" s="243" t="s">
        <v>383</v>
      </c>
      <c r="G101" s="244" t="s">
        <v>305</v>
      </c>
      <c r="H101" s="244" t="s">
        <v>377</v>
      </c>
      <c r="I101" s="255" t="s">
        <v>378</v>
      </c>
    </row>
    <row r="102" spans="2:9" ht="35.25" thickTop="1" thickBot="1" x14ac:dyDescent="0.3">
      <c r="B102" s="618"/>
      <c r="C102" s="618"/>
      <c r="E102" s="264">
        <f>+E101+1</f>
        <v>73</v>
      </c>
      <c r="F102" s="243" t="s">
        <v>384</v>
      </c>
      <c r="G102" s="244" t="s">
        <v>305</v>
      </c>
      <c r="H102" s="244" t="s">
        <v>377</v>
      </c>
      <c r="I102" s="255" t="s">
        <v>380</v>
      </c>
    </row>
    <row r="103" spans="2:9" ht="35.25" thickTop="1" thickBot="1" x14ac:dyDescent="0.3">
      <c r="B103" s="618"/>
      <c r="C103" s="618"/>
      <c r="E103" s="264">
        <f>+E102+1</f>
        <v>74</v>
      </c>
      <c r="F103" s="243" t="s">
        <v>385</v>
      </c>
      <c r="G103" s="244" t="s">
        <v>305</v>
      </c>
      <c r="H103" s="244" t="s">
        <v>377</v>
      </c>
      <c r="I103" s="255" t="s">
        <v>378</v>
      </c>
    </row>
    <row r="104" spans="2:9" ht="35.25" thickTop="1" thickBot="1" x14ac:dyDescent="0.3">
      <c r="B104" s="618"/>
      <c r="C104" s="618"/>
      <c r="E104" s="264">
        <f>+E103+1</f>
        <v>75</v>
      </c>
      <c r="F104" s="243" t="s">
        <v>386</v>
      </c>
      <c r="G104" s="244" t="s">
        <v>305</v>
      </c>
      <c r="H104" s="244" t="s">
        <v>377</v>
      </c>
      <c r="I104" s="255" t="s">
        <v>380</v>
      </c>
    </row>
    <row r="105" spans="2:9" ht="35.25" thickTop="1" thickBot="1" x14ac:dyDescent="0.3">
      <c r="B105" s="618"/>
      <c r="C105" s="618"/>
      <c r="E105" s="264">
        <f>+E104+1</f>
        <v>76</v>
      </c>
      <c r="F105" s="243" t="s">
        <v>387</v>
      </c>
      <c r="G105" s="244" t="s">
        <v>305</v>
      </c>
      <c r="H105" s="244" t="s">
        <v>377</v>
      </c>
      <c r="I105" s="255" t="s">
        <v>380</v>
      </c>
    </row>
    <row r="106" spans="2:9" ht="4.5" customHeight="1" thickTop="1" thickBot="1" x14ac:dyDescent="0.3">
      <c r="E106" s="279"/>
      <c r="F106" s="270"/>
      <c r="G106" s="271"/>
      <c r="H106" s="271"/>
      <c r="I106" s="272"/>
    </row>
  </sheetData>
  <sheetProtection algorithmName="SHA-512" hashValue="5X2dGVBZ6zBNOxfEo8/Sae/75OmP0whrFkfdiowTE7HDW2TwL7TP50v6i9ndnM9dexaMZpjXhR1r+lqxhTUlLg==" saltValue="oFYideMNK1yf+mwPi+nkCg==" spinCount="100000" sheet="1" objects="1" scenarios="1"/>
  <protectedRanges>
    <protectedRange algorithmName="SHA-512" hashValue="G4SpJY0y8VtmhCwk2RAg6/YTUOsakN4yWCCp2kyBfpdIDIMmiB5SckQ7fVqrOZRscKRQzsHrpnhM1GUUlpQddw==" saltValue="RjbgUutsHMKbWbLJKTb6oQ==" spinCount="100000" sqref="E18:I105" name="Tablaretefuente"/>
  </protectedRanges>
  <mergeCells count="8">
    <mergeCell ref="B22:C105"/>
    <mergeCell ref="E5:I5"/>
    <mergeCell ref="E3:I3"/>
    <mergeCell ref="B6:C7"/>
    <mergeCell ref="E6:I7"/>
    <mergeCell ref="E19:I19"/>
    <mergeCell ref="B8:B19"/>
    <mergeCell ref="E8:I17"/>
  </mergeCells>
  <hyperlinks>
    <hyperlink ref="I23" r:id="rId1" location="383" xr:uid="{1C08A183-7C2B-4627-A795-5A1693F45BD4}"/>
    <hyperlink ref="B8:B19" location="Anual!A1" display="Calendario" xr:uid="{B8452F4C-E1A1-4A13-9B80-ED68E990A47E}"/>
    <hyperlink ref="C8" location="Enero!A1" display="Enero" xr:uid="{90BCD9C9-3665-42B5-89C3-03DBE8B0777E}"/>
    <hyperlink ref="C9" location="Febrero!A1" display="Febrero" xr:uid="{7FD4D3C1-7E95-4F5E-B94A-C88752356B49}"/>
    <hyperlink ref="C10" location="Marzo!A1" display="Marzo" xr:uid="{1F7E6EA4-0688-4F62-852C-555C1BD61F20}"/>
    <hyperlink ref="C11" location="Abril!A1" display="Abril" xr:uid="{4E73437F-4BBC-4814-B0C8-D59E65841B20}"/>
    <hyperlink ref="C12" location="Mayo!A1" display="Mayo" xr:uid="{9397F396-B02C-4DA9-B168-9A2E9F5977CA}"/>
    <hyperlink ref="C13" location="Junio!A1" display="Junio" xr:uid="{E2874D93-D252-48CE-807A-132820C9BC0C}"/>
    <hyperlink ref="C14" location="Julio!A1" display="Julio" xr:uid="{96DC5E0F-9077-4A4B-B7C4-0D4CB23F0445}"/>
    <hyperlink ref="C15" location="Agosto!A1" display="Agosto" xr:uid="{76363A39-562B-48AA-8EDD-D646AB24B865}"/>
    <hyperlink ref="C16" location="Septiembre!A1" display="Septiembre" xr:uid="{AB76FEA2-1C32-4C6D-8571-BE32428811FB}"/>
    <hyperlink ref="C17" location="Octubre!A1" display="Octubre" xr:uid="{CDC833E2-41B3-46B3-9040-19E6D2F02EEE}"/>
    <hyperlink ref="C18" location="Noviembre!A1" display="Noviembre" xr:uid="{0C6B5650-7CE5-4CF3-BC37-BA4607905A41}"/>
    <hyperlink ref="C19" location="Diciembre!A1" display="Diciembre" xr:uid="{69ECF2A9-84D8-4F16-B41E-0A50FAEE0C91}"/>
  </hyperlinks>
  <pageMargins left="0.7" right="0.7" top="0.75" bottom="0.75" header="0.3" footer="0.3"/>
  <pageSetup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F490-B31E-4D72-8A8A-10F600B80390}">
  <dimension ref="A1:J25"/>
  <sheetViews>
    <sheetView showGridLines="0" showRowColHeaders="0" zoomScale="98" zoomScaleNormal="98" workbookViewId="0"/>
  </sheetViews>
  <sheetFormatPr baseColWidth="10" defaultColWidth="0" defaultRowHeight="0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25.28515625" bestFit="1" customWidth="1"/>
    <col min="6" max="6" width="23.85546875" bestFit="1" customWidth="1"/>
    <col min="7" max="7" width="0.85546875" style="10" customWidth="1"/>
    <col min="8" max="8" width="13.7109375" customWidth="1"/>
    <col min="9" max="9" width="20.7109375" customWidth="1"/>
    <col min="10" max="10" width="0.5703125" style="10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188" t="s">
        <v>226</v>
      </c>
      <c r="F3" s="188"/>
      <c r="G3" s="188"/>
      <c r="H3" s="188"/>
      <c r="I3" s="188"/>
      <c r="J3" s="191"/>
    </row>
    <row r="4" spans="2:10" ht="15" x14ac:dyDescent="0.25">
      <c r="B4" s="546"/>
      <c r="C4" s="546"/>
    </row>
    <row r="5" spans="2:10" ht="15.75" customHeight="1" x14ac:dyDescent="0.25">
      <c r="B5" s="546"/>
      <c r="C5" s="546"/>
      <c r="E5" s="147" t="s">
        <v>227</v>
      </c>
      <c r="F5" s="147"/>
      <c r="G5" s="147"/>
      <c r="H5" s="147"/>
      <c r="I5" s="147"/>
      <c r="J5" s="187"/>
    </row>
    <row r="6" spans="2:10" ht="15" customHeight="1" x14ac:dyDescent="0.25">
      <c r="B6" s="546"/>
      <c r="C6" s="546"/>
      <c r="E6" s="148"/>
    </row>
    <row r="7" spans="2:10" ht="15" customHeight="1" x14ac:dyDescent="0.25">
      <c r="B7" s="563" t="s">
        <v>47</v>
      </c>
      <c r="C7" s="563"/>
      <c r="E7" s="564" t="s">
        <v>228</v>
      </c>
      <c r="F7" s="565"/>
      <c r="G7" s="149"/>
      <c r="H7" s="182"/>
      <c r="I7" s="182"/>
      <c r="J7" s="149"/>
    </row>
    <row r="8" spans="2:10" ht="15" x14ac:dyDescent="0.25">
      <c r="B8" s="563"/>
      <c r="C8" s="563"/>
      <c r="E8" s="566"/>
      <c r="F8" s="567"/>
      <c r="G8" s="149"/>
      <c r="H8" s="182"/>
      <c r="I8" s="182"/>
      <c r="J8" s="149"/>
    </row>
    <row r="9" spans="2:10" ht="15" x14ac:dyDescent="0.25">
      <c r="B9" s="555" t="s">
        <v>67</v>
      </c>
      <c r="C9" s="556"/>
      <c r="E9" s="568"/>
      <c r="F9" s="569"/>
      <c r="G9" s="149"/>
      <c r="H9" s="182"/>
      <c r="I9" s="182"/>
      <c r="J9" s="149"/>
    </row>
    <row r="10" spans="2:10" ht="15.75" thickBot="1" x14ac:dyDescent="0.3">
      <c r="B10" s="173"/>
      <c r="C10" s="172" t="s">
        <v>51</v>
      </c>
    </row>
    <row r="11" spans="2:10" ht="15" customHeight="1" thickTop="1" thickBot="1" x14ac:dyDescent="0.3">
      <c r="B11" s="557" t="s">
        <v>52</v>
      </c>
      <c r="C11" s="159" t="s">
        <v>53</v>
      </c>
      <c r="E11" s="549" t="s">
        <v>229</v>
      </c>
      <c r="F11" s="549" t="s">
        <v>55</v>
      </c>
      <c r="G11" s="175"/>
      <c r="H11" s="623"/>
      <c r="I11" s="623"/>
      <c r="J11" s="149"/>
    </row>
    <row r="12" spans="2:10" ht="16.5" thickTop="1" thickBot="1" x14ac:dyDescent="0.3">
      <c r="B12" s="558"/>
      <c r="C12" s="160" t="s">
        <v>56</v>
      </c>
      <c r="E12" s="550"/>
      <c r="F12" s="550"/>
      <c r="G12" s="175"/>
      <c r="H12" s="623"/>
      <c r="I12" s="623"/>
      <c r="J12" s="149"/>
    </row>
    <row r="13" spans="2:10" ht="16.5" thickTop="1" thickBot="1" x14ac:dyDescent="0.3">
      <c r="B13" s="558"/>
      <c r="C13" s="160" t="s">
        <v>57</v>
      </c>
      <c r="E13" s="151" t="s">
        <v>215</v>
      </c>
      <c r="F13" s="178">
        <v>44967</v>
      </c>
      <c r="G13" s="176"/>
      <c r="H13" s="623"/>
      <c r="I13" s="623"/>
    </row>
    <row r="14" spans="2:10" ht="16.5" thickTop="1" thickBot="1" x14ac:dyDescent="0.3">
      <c r="B14" s="558"/>
      <c r="C14" s="160" t="s">
        <v>58</v>
      </c>
      <c r="E14" s="153" t="s">
        <v>216</v>
      </c>
      <c r="F14" s="154">
        <v>44995</v>
      </c>
      <c r="G14" s="176"/>
      <c r="H14" s="623"/>
      <c r="I14" s="623"/>
    </row>
    <row r="15" spans="2:10" ht="16.5" thickTop="1" thickBot="1" x14ac:dyDescent="0.3">
      <c r="B15" s="558"/>
      <c r="C15" s="160" t="s">
        <v>59</v>
      </c>
      <c r="E15" s="153" t="s">
        <v>230</v>
      </c>
      <c r="F15" s="154">
        <v>45037</v>
      </c>
      <c r="G15" s="176"/>
      <c r="H15" s="623"/>
      <c r="I15" s="623"/>
    </row>
    <row r="16" spans="2:10" ht="16.5" thickTop="1" thickBot="1" x14ac:dyDescent="0.3">
      <c r="B16" s="558"/>
      <c r="C16" s="160" t="s">
        <v>60</v>
      </c>
      <c r="E16" s="153" t="s">
        <v>217</v>
      </c>
      <c r="F16" s="163">
        <v>45058</v>
      </c>
      <c r="G16" s="176"/>
      <c r="H16" s="623"/>
      <c r="I16" s="623"/>
    </row>
    <row r="17" spans="2:9" ht="16.5" thickTop="1" thickBot="1" x14ac:dyDescent="0.3">
      <c r="B17" s="558"/>
      <c r="C17" s="160" t="s">
        <v>61</v>
      </c>
      <c r="E17" s="153" t="s">
        <v>231</v>
      </c>
      <c r="F17" s="154">
        <v>45093</v>
      </c>
      <c r="G17" s="176"/>
      <c r="H17" s="623"/>
      <c r="I17" s="623"/>
    </row>
    <row r="18" spans="2:9" ht="16.5" thickTop="1" thickBot="1" x14ac:dyDescent="0.3">
      <c r="B18" s="558"/>
      <c r="C18" s="160" t="s">
        <v>62</v>
      </c>
      <c r="E18" s="153" t="s">
        <v>219</v>
      </c>
      <c r="F18" s="154">
        <v>45121</v>
      </c>
      <c r="G18" s="176"/>
      <c r="H18" s="623"/>
      <c r="I18" s="623"/>
    </row>
    <row r="19" spans="2:9" ht="16.5" thickTop="1" thickBot="1" x14ac:dyDescent="0.3">
      <c r="B19" s="558"/>
      <c r="C19" s="160" t="s">
        <v>63</v>
      </c>
      <c r="E19" s="153" t="s">
        <v>220</v>
      </c>
      <c r="F19" s="154">
        <v>45149</v>
      </c>
      <c r="G19" s="176"/>
      <c r="H19" s="623"/>
      <c r="I19" s="623"/>
    </row>
    <row r="20" spans="2:9" ht="16.5" thickTop="1" thickBot="1" x14ac:dyDescent="0.3">
      <c r="B20" s="558"/>
      <c r="C20" s="160" t="s">
        <v>64</v>
      </c>
      <c r="E20" s="153" t="s">
        <v>221</v>
      </c>
      <c r="F20" s="154">
        <v>45184</v>
      </c>
      <c r="G20" s="176"/>
      <c r="H20" s="623"/>
      <c r="I20" s="623"/>
    </row>
    <row r="21" spans="2:9" ht="16.5" thickTop="1" thickBot="1" x14ac:dyDescent="0.3">
      <c r="B21" s="558"/>
      <c r="C21" s="160" t="s">
        <v>65</v>
      </c>
      <c r="E21" s="153" t="s">
        <v>222</v>
      </c>
      <c r="F21" s="154">
        <v>45212</v>
      </c>
      <c r="G21" s="176"/>
      <c r="H21" s="623"/>
      <c r="I21" s="623"/>
    </row>
    <row r="22" spans="2:9" ht="16.5" thickTop="1" thickBot="1" x14ac:dyDescent="0.3">
      <c r="B22" s="558"/>
      <c r="C22" s="160" t="s">
        <v>66</v>
      </c>
      <c r="E22" s="153" t="s">
        <v>223</v>
      </c>
      <c r="F22" s="154">
        <v>45247</v>
      </c>
      <c r="G22" s="176"/>
      <c r="H22" s="623"/>
      <c r="I22" s="623"/>
    </row>
    <row r="23" spans="2:9" ht="15" customHeight="1" thickTop="1" thickBot="1" x14ac:dyDescent="0.3">
      <c r="B23" s="618"/>
      <c r="C23" s="618"/>
      <c r="E23" s="153" t="s">
        <v>224</v>
      </c>
      <c r="F23" s="154">
        <v>45275</v>
      </c>
      <c r="H23" s="623"/>
      <c r="I23" s="623"/>
    </row>
    <row r="24" spans="2:9" ht="15" customHeight="1" thickTop="1" thickBot="1" x14ac:dyDescent="0.3">
      <c r="B24" s="618"/>
      <c r="C24" s="618"/>
      <c r="E24" s="174" t="s">
        <v>225</v>
      </c>
      <c r="F24" s="177">
        <v>45303</v>
      </c>
      <c r="H24" s="623"/>
      <c r="I24" s="623"/>
    </row>
    <row r="25" spans="2:9" ht="3.75" customHeight="1" thickTop="1" x14ac:dyDescent="0.25"/>
  </sheetData>
  <sheetProtection algorithmName="SHA-512" hashValue="6x39r8QVHVDWDZkTVUHhw9fzrMSQUZW5uWWj96MRgVYnuFgrDDFMdXunuC41DSSa1IOPH1E3BMHBHL5eiC3/rQ==" saltValue="PTfGw5VPSIr8wjFMMGhbOg==" spinCount="100000" sheet="1" objects="1" scenarios="1"/>
  <protectedRanges>
    <protectedRange algorithmName="SHA-512" hashValue="v5Rs3+vDBh8/aq2QCD5swf8Nk+geBLqScGgYHyPV7roNa84bX1zlY0iYgQvA8CdUpa2w1IIcxdoZzgtdqv6sRw==" saltValue="ylqpLRPbKAOKtOhAKmmk9Q==" spinCount="100000" sqref="E7:F24" name="GasolinaACPM"/>
  </protectedRanges>
  <mergeCells count="9">
    <mergeCell ref="H11:I24"/>
    <mergeCell ref="B2:C6"/>
    <mergeCell ref="B7:C8"/>
    <mergeCell ref="E7:F9"/>
    <mergeCell ref="B9:C9"/>
    <mergeCell ref="B11:B22"/>
    <mergeCell ref="E11:E12"/>
    <mergeCell ref="F11:F12"/>
    <mergeCell ref="B23:C24"/>
  </mergeCells>
  <phoneticPr fontId="37" type="noConversion"/>
  <hyperlinks>
    <hyperlink ref="B11:B22" location="Anual!A1" display="Calendario" xr:uid="{3CC50112-556F-45A4-BF4B-9A2E928DFD9D}"/>
    <hyperlink ref="C11" location="Enero!A1" display="Enero" xr:uid="{6C29C9F8-5973-45F9-A31E-E458024B6F16}"/>
    <hyperlink ref="C12" location="Febrero!A1" display="Febrero" xr:uid="{CF671E67-EAD6-45D4-8A90-69D677B99C6D}"/>
    <hyperlink ref="C13" location="Marzo!A1" display="Marzo" xr:uid="{15074731-2AB0-4FA5-9578-7FB459CDE3DA}"/>
    <hyperlink ref="C14" location="Abril!A1" display="Abril" xr:uid="{28FA9939-27B7-46DA-B93E-199AD954FA9C}"/>
    <hyperlink ref="C15" location="Mayo!A1" display="Mayo" xr:uid="{531636B4-9B06-4E49-BD1E-AC87F36B2735}"/>
    <hyperlink ref="C16" location="Junio!A1" display="Junio" xr:uid="{06E1E13D-1F8D-450E-9233-55A1681F91F0}"/>
    <hyperlink ref="C17" location="Julio!A1" display="Julio" xr:uid="{24CF377A-DB61-44A8-B62F-96084AC868EE}"/>
    <hyperlink ref="C18" location="Agosto!A1" display="Agosto" xr:uid="{C8217DF6-590B-4EA4-A534-D5E2BA832DEE}"/>
    <hyperlink ref="C19" location="Septiembre!A1" display="Septiembre" xr:uid="{426780FE-00B2-41EE-872F-62B381D633D2}"/>
    <hyperlink ref="C20" location="Octubre!A1" display="Octubre" xr:uid="{515B1C5A-9BA7-4513-8D65-2606A858D389}"/>
    <hyperlink ref="C21" location="Noviembre!A1" display="Noviembre" xr:uid="{FBEFD476-1BE1-433A-A88B-4000E244BA01}"/>
    <hyperlink ref="C22" location="Diciembre!A1" display="Diciembre" xr:uid="{C6594A8B-E40E-43E2-8566-2F3A7E2F2D63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E8F3B-4455-4085-859C-B334A78AB4B9}">
  <dimension ref="A1:J23"/>
  <sheetViews>
    <sheetView showGridLines="0" showRowColHeaders="0" workbookViewId="0"/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36.140625" bestFit="1" customWidth="1"/>
    <col min="6" max="6" width="23.85546875" bestFit="1" customWidth="1"/>
    <col min="7" max="7" width="0.85546875" style="10" customWidth="1"/>
    <col min="8" max="8" width="13.7109375" customWidth="1"/>
    <col min="9" max="9" width="20.7109375" customWidth="1"/>
    <col min="10" max="10" width="0.85546875" style="10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188" t="s">
        <v>232</v>
      </c>
      <c r="F3" s="188"/>
      <c r="G3" s="188"/>
      <c r="H3" s="188"/>
      <c r="I3" s="188"/>
      <c r="J3" s="191"/>
    </row>
    <row r="4" spans="2:10" x14ac:dyDescent="0.25">
      <c r="B4" s="546"/>
      <c r="C4" s="546"/>
    </row>
    <row r="5" spans="2:10" ht="15.75" customHeight="1" x14ac:dyDescent="0.25">
      <c r="B5" s="546"/>
      <c r="C5" s="546"/>
      <c r="E5" s="147" t="s">
        <v>696</v>
      </c>
      <c r="F5" s="147"/>
      <c r="G5" s="147"/>
      <c r="H5" s="147"/>
      <c r="I5" s="147"/>
      <c r="J5" s="187"/>
    </row>
    <row r="6" spans="2:10" ht="15" customHeight="1" x14ac:dyDescent="0.25">
      <c r="B6" s="546"/>
      <c r="C6" s="546"/>
      <c r="E6" s="148"/>
    </row>
    <row r="7" spans="2:10" ht="15" customHeight="1" x14ac:dyDescent="0.25">
      <c r="B7" s="563" t="s">
        <v>47</v>
      </c>
      <c r="C7" s="563"/>
      <c r="E7" s="564" t="s">
        <v>233</v>
      </c>
      <c r="F7" s="565"/>
      <c r="G7" s="149"/>
      <c r="H7" s="626" t="s">
        <v>685</v>
      </c>
      <c r="I7" s="627"/>
      <c r="J7" s="149"/>
    </row>
    <row r="8" spans="2:10" x14ac:dyDescent="0.25">
      <c r="B8" s="563"/>
      <c r="C8" s="563"/>
      <c r="E8" s="566"/>
      <c r="F8" s="567"/>
      <c r="G8" s="149"/>
      <c r="H8" s="627"/>
      <c r="I8" s="627"/>
      <c r="J8" s="149"/>
    </row>
    <row r="9" spans="2:10" x14ac:dyDescent="0.25">
      <c r="B9" s="555" t="s">
        <v>67</v>
      </c>
      <c r="C9" s="556"/>
      <c r="E9" s="568"/>
      <c r="F9" s="569"/>
      <c r="G9" s="149"/>
      <c r="H9" s="627"/>
      <c r="I9" s="627"/>
      <c r="J9" s="149"/>
    </row>
    <row r="10" spans="2:10" x14ac:dyDescent="0.25">
      <c r="B10" s="173"/>
      <c r="C10" s="172" t="s">
        <v>51</v>
      </c>
    </row>
    <row r="11" spans="2:10" ht="15" customHeight="1" x14ac:dyDescent="0.25">
      <c r="B11" s="557" t="s">
        <v>52</v>
      </c>
      <c r="C11" s="159" t="s">
        <v>53</v>
      </c>
      <c r="E11" s="549" t="s">
        <v>229</v>
      </c>
      <c r="F11" s="549" t="s">
        <v>55</v>
      </c>
      <c r="G11" s="175"/>
      <c r="H11" s="624"/>
      <c r="I11" s="624"/>
      <c r="J11" s="149"/>
    </row>
    <row r="12" spans="2:10" x14ac:dyDescent="0.25">
      <c r="B12" s="558"/>
      <c r="C12" s="160" t="s">
        <v>56</v>
      </c>
      <c r="E12" s="550"/>
      <c r="F12" s="550"/>
      <c r="G12" s="175"/>
      <c r="H12" s="624"/>
      <c r="I12" s="624"/>
      <c r="J12" s="149"/>
    </row>
    <row r="13" spans="2:10" x14ac:dyDescent="0.25">
      <c r="B13" s="558"/>
      <c r="C13" s="160" t="s">
        <v>57</v>
      </c>
      <c r="E13" s="151" t="s">
        <v>234</v>
      </c>
      <c r="F13" s="178">
        <v>44995</v>
      </c>
      <c r="G13" s="176"/>
      <c r="H13" s="624"/>
      <c r="I13" s="624"/>
    </row>
    <row r="14" spans="2:10" x14ac:dyDescent="0.25">
      <c r="B14" s="558"/>
      <c r="C14" s="160" t="s">
        <v>58</v>
      </c>
      <c r="E14" s="153" t="s">
        <v>235</v>
      </c>
      <c r="F14" s="154">
        <v>45058</v>
      </c>
      <c r="G14" s="176"/>
      <c r="H14" s="624"/>
      <c r="I14" s="624"/>
    </row>
    <row r="15" spans="2:10" x14ac:dyDescent="0.25">
      <c r="B15" s="558"/>
      <c r="C15" s="160" t="s">
        <v>59</v>
      </c>
      <c r="E15" s="153" t="s">
        <v>236</v>
      </c>
      <c r="F15" s="154">
        <v>45121</v>
      </c>
      <c r="G15" s="176"/>
      <c r="H15" s="624"/>
      <c r="I15" s="624"/>
    </row>
    <row r="16" spans="2:10" x14ac:dyDescent="0.25">
      <c r="B16" s="558"/>
      <c r="C16" s="160" t="s">
        <v>60</v>
      </c>
      <c r="E16" s="153" t="s">
        <v>237</v>
      </c>
      <c r="F16" s="163">
        <v>45184</v>
      </c>
      <c r="G16" s="176"/>
      <c r="H16" s="624"/>
      <c r="I16" s="624"/>
    </row>
    <row r="17" spans="2:9" x14ac:dyDescent="0.25">
      <c r="B17" s="558"/>
      <c r="C17" s="160" t="s">
        <v>61</v>
      </c>
      <c r="E17" s="153" t="s">
        <v>238</v>
      </c>
      <c r="F17" s="154">
        <v>45247</v>
      </c>
      <c r="G17" s="176"/>
      <c r="H17" s="624"/>
      <c r="I17" s="624"/>
    </row>
    <row r="18" spans="2:9" ht="15.75" thickBot="1" x14ac:dyDescent="0.3">
      <c r="B18" s="558"/>
      <c r="C18" s="160" t="s">
        <v>62</v>
      </c>
      <c r="E18" s="171" t="s">
        <v>239</v>
      </c>
      <c r="F18" s="166">
        <v>45303</v>
      </c>
      <c r="G18" s="176"/>
      <c r="H18" s="624"/>
      <c r="I18" s="624"/>
    </row>
    <row r="19" spans="2:9" ht="16.5" thickTop="1" thickBot="1" x14ac:dyDescent="0.3">
      <c r="B19" s="558"/>
      <c r="C19" s="160" t="s">
        <v>63</v>
      </c>
      <c r="E19" s="625"/>
      <c r="F19" s="625"/>
      <c r="H19" s="624"/>
      <c r="I19" s="624"/>
    </row>
    <row r="20" spans="2:9" ht="16.5" thickTop="1" thickBot="1" x14ac:dyDescent="0.3">
      <c r="B20" s="558"/>
      <c r="C20" s="160" t="s">
        <v>64</v>
      </c>
      <c r="E20" s="625"/>
      <c r="F20" s="625"/>
      <c r="H20" s="624"/>
      <c r="I20" s="624"/>
    </row>
    <row r="21" spans="2:9" ht="16.5" thickTop="1" thickBot="1" x14ac:dyDescent="0.3">
      <c r="B21" s="558"/>
      <c r="C21" s="160" t="s">
        <v>65</v>
      </c>
      <c r="E21" s="625"/>
      <c r="F21" s="625"/>
      <c r="H21" s="624"/>
      <c r="I21" s="624"/>
    </row>
    <row r="22" spans="2:9" ht="16.5" thickTop="1" thickBot="1" x14ac:dyDescent="0.3">
      <c r="B22" s="576"/>
      <c r="C22" s="161" t="s">
        <v>66</v>
      </c>
      <c r="E22" s="625"/>
      <c r="F22" s="625"/>
      <c r="H22" s="624"/>
      <c r="I22" s="624"/>
    </row>
    <row r="23" spans="2:9" ht="5.25" customHeight="1" thickTop="1" x14ac:dyDescent="0.25"/>
  </sheetData>
  <sheetProtection algorithmName="SHA-512" hashValue="6wBr/tlJujM5n7N3BwNZp0l2ipiE2SsI+vTpubq4SC7pNO4SJD88h+s6TPvLMxJS5fTWmax/B8NmUrzuEVfzJw==" saltValue="opMUOsb9z+Ima+iR9zH2og==" spinCount="100000" sheet="1" objects="1" scenarios="1"/>
  <protectedRanges>
    <protectedRange algorithmName="SHA-512" hashValue="kHnO7gy6YpjdojjqlYW52CClT42+bUZH6LsS+JLCdZ0ATxy2NIURv5Lr8sCWs8i4QNdvwXqsHCUfmiJ1QFHbFQ==" saltValue="ILn4pKQqnknj0N28P/eczA==" spinCount="100000" sqref="E7:F18" name="IMpocarbono"/>
  </protectedRanges>
  <mergeCells count="10">
    <mergeCell ref="H11:I22"/>
    <mergeCell ref="E19:F22"/>
    <mergeCell ref="B2:C6"/>
    <mergeCell ref="B7:C8"/>
    <mergeCell ref="E7:F9"/>
    <mergeCell ref="B9:C9"/>
    <mergeCell ref="B11:B22"/>
    <mergeCell ref="E11:E12"/>
    <mergeCell ref="F11:F12"/>
    <mergeCell ref="H7:I9"/>
  </mergeCells>
  <hyperlinks>
    <hyperlink ref="B11:B22" location="Anual!A1" display="Calendario" xr:uid="{52611E54-BCAA-4DA2-B62F-CDCA54C770D9}"/>
    <hyperlink ref="C11" location="Enero!A1" display="Enero" xr:uid="{B5B3E2BE-3D4B-4DDE-B240-40B152E7DC93}"/>
    <hyperlink ref="C12" location="Febrero!A1" display="Febrero" xr:uid="{34C869BF-3035-4310-AB91-17C739780E70}"/>
    <hyperlink ref="C13" location="Marzo!A1" display="Marzo" xr:uid="{4EA9F735-2E6A-4FC0-8FEA-9B8A913F8278}"/>
    <hyperlink ref="C14" location="Abril!A1" display="Abril" xr:uid="{E29AB247-0693-45F3-A9CB-CAA8490FEAB6}"/>
    <hyperlink ref="C15" location="Mayo!A1" display="Mayo" xr:uid="{C9738831-AB3B-4FA5-AEBD-7AD8276C9A96}"/>
    <hyperlink ref="C16" location="Junio!A1" display="Junio" xr:uid="{7033DC1E-8F50-439D-A0D9-7F97DD10D53B}"/>
    <hyperlink ref="C17" location="Julio!A1" display="Julio" xr:uid="{BE603909-8BC5-48AD-B621-3525EE743FBF}"/>
    <hyperlink ref="C18" location="Agosto!A1" display="Agosto" xr:uid="{657BCF67-0F66-4773-8A9C-AB48EE55900B}"/>
    <hyperlink ref="C19" location="Septiembre!A1" display="Septiembre" xr:uid="{A1EBEAA9-A642-4D5D-9349-D2C9075A450F}"/>
    <hyperlink ref="C20" location="Octubre!A1" display="Octubre" xr:uid="{DE0BED82-33FC-47D3-86B6-3A39A26505FB}"/>
    <hyperlink ref="C21" location="Noviembre!A1" display="Noviembre" xr:uid="{1BCBFB58-1DEB-4FE4-9541-B4AE7B7AE273}"/>
    <hyperlink ref="C22" location="Diciembre!A1" display="Diciembre" xr:uid="{A96D85EB-AE53-45C0-A95A-F9A80430B1AD}"/>
    <hyperlink ref="H7" r:id="rId1" xr:uid="{D25954B9-39A4-4CF3-96E8-FFA60577A3A9}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1369A-D023-4BB3-97E8-B9590F994DFC}">
  <dimension ref="A1:J24"/>
  <sheetViews>
    <sheetView showGridLines="0" showRowColHeaders="0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8.42578125" customWidth="1"/>
    <col min="6" max="6" width="20.7109375" customWidth="1"/>
    <col min="7" max="7" width="0.85546875" style="10" customWidth="1"/>
    <col min="8" max="8" width="13.7109375" customWidth="1"/>
    <col min="9" max="9" width="20.7109375" customWidth="1"/>
    <col min="10" max="10" width="0.85546875" style="10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188" t="s">
        <v>766</v>
      </c>
      <c r="F3" s="188"/>
      <c r="G3" s="188"/>
      <c r="H3" s="188"/>
      <c r="I3" s="188"/>
      <c r="J3" s="191"/>
    </row>
    <row r="4" spans="2:10" x14ac:dyDescent="0.25">
      <c r="B4" s="546"/>
      <c r="C4" s="546"/>
    </row>
    <row r="5" spans="2:10" ht="15.75" customHeight="1" x14ac:dyDescent="0.25">
      <c r="B5" s="546"/>
      <c r="C5" s="546"/>
      <c r="E5" s="147" t="s">
        <v>767</v>
      </c>
      <c r="F5" s="147"/>
      <c r="G5" s="147"/>
      <c r="H5" s="147"/>
      <c r="I5" s="147"/>
      <c r="J5" s="187"/>
    </row>
    <row r="6" spans="2:10" ht="15" customHeight="1" x14ac:dyDescent="0.25">
      <c r="B6" s="546"/>
      <c r="C6" s="546"/>
      <c r="E6" s="148"/>
    </row>
    <row r="7" spans="2:10" ht="15" customHeight="1" x14ac:dyDescent="0.25">
      <c r="B7" s="563" t="s">
        <v>47</v>
      </c>
      <c r="C7" s="563"/>
      <c r="E7" s="564" t="s">
        <v>768</v>
      </c>
      <c r="F7" s="565"/>
      <c r="G7" s="149"/>
      <c r="H7" s="182"/>
      <c r="I7" s="182"/>
      <c r="J7" s="149"/>
    </row>
    <row r="8" spans="2:10" x14ac:dyDescent="0.25">
      <c r="B8" s="563"/>
      <c r="C8" s="563"/>
      <c r="E8" s="566"/>
      <c r="F8" s="567"/>
      <c r="G8" s="149"/>
      <c r="H8" s="182"/>
      <c r="I8" s="182"/>
      <c r="J8" s="149"/>
    </row>
    <row r="9" spans="2:10" x14ac:dyDescent="0.25">
      <c r="B9" s="555" t="s">
        <v>67</v>
      </c>
      <c r="C9" s="556"/>
      <c r="E9" s="568"/>
      <c r="F9" s="569"/>
      <c r="G9" s="149"/>
      <c r="H9" s="182"/>
      <c r="I9" s="182"/>
      <c r="J9" s="149"/>
    </row>
    <row r="10" spans="2:10" x14ac:dyDescent="0.25">
      <c r="B10" s="173"/>
      <c r="C10" s="172" t="s">
        <v>51</v>
      </c>
    </row>
    <row r="11" spans="2:10" ht="15" customHeight="1" x14ac:dyDescent="0.25">
      <c r="B11" s="557" t="s">
        <v>52</v>
      </c>
      <c r="C11" s="159" t="s">
        <v>53</v>
      </c>
      <c r="E11" s="559" t="s">
        <v>166</v>
      </c>
      <c r="F11" s="549" t="s">
        <v>55</v>
      </c>
      <c r="G11" s="175"/>
      <c r="H11" s="583"/>
      <c r="I11" s="584"/>
      <c r="J11" s="149"/>
    </row>
    <row r="12" spans="2:10" x14ac:dyDescent="0.25">
      <c r="B12" s="558"/>
      <c r="C12" s="160" t="s">
        <v>56</v>
      </c>
      <c r="E12" s="560"/>
      <c r="F12" s="550"/>
      <c r="G12" s="175"/>
      <c r="H12" s="585"/>
      <c r="I12" s="586"/>
      <c r="J12" s="149"/>
    </row>
    <row r="13" spans="2:10" x14ac:dyDescent="0.25">
      <c r="B13" s="558"/>
      <c r="C13" s="160" t="s">
        <v>57</v>
      </c>
      <c r="E13" s="179" t="s">
        <v>167</v>
      </c>
      <c r="F13" s="178">
        <v>45341</v>
      </c>
      <c r="G13" s="176"/>
      <c r="H13" s="585"/>
      <c r="I13" s="586"/>
    </row>
    <row r="14" spans="2:10" x14ac:dyDescent="0.25">
      <c r="B14" s="558"/>
      <c r="C14" s="160" t="s">
        <v>58</v>
      </c>
      <c r="E14" s="180" t="s">
        <v>168</v>
      </c>
      <c r="F14" s="154">
        <v>45342</v>
      </c>
      <c r="G14" s="176"/>
      <c r="H14" s="585"/>
      <c r="I14" s="586"/>
    </row>
    <row r="15" spans="2:10" x14ac:dyDescent="0.25">
      <c r="B15" s="558"/>
      <c r="C15" s="160" t="s">
        <v>59</v>
      </c>
      <c r="E15" s="180" t="s">
        <v>169</v>
      </c>
      <c r="F15" s="154">
        <v>45343</v>
      </c>
      <c r="G15" s="176"/>
      <c r="H15" s="585"/>
      <c r="I15" s="586"/>
    </row>
    <row r="16" spans="2:10" x14ac:dyDescent="0.25">
      <c r="B16" s="558"/>
      <c r="C16" s="160" t="s">
        <v>60</v>
      </c>
      <c r="E16" s="180" t="s">
        <v>170</v>
      </c>
      <c r="F16" s="163">
        <v>45344</v>
      </c>
      <c r="G16" s="176"/>
      <c r="H16" s="585"/>
      <c r="I16" s="586"/>
    </row>
    <row r="17" spans="2:9" x14ac:dyDescent="0.25">
      <c r="B17" s="558"/>
      <c r="C17" s="160" t="s">
        <v>61</v>
      </c>
      <c r="E17" s="181" t="s">
        <v>171</v>
      </c>
      <c r="F17" s="166">
        <v>45345</v>
      </c>
      <c r="G17" s="176"/>
      <c r="H17" s="585"/>
      <c r="I17" s="586"/>
    </row>
    <row r="18" spans="2:9" x14ac:dyDescent="0.25">
      <c r="B18" s="558"/>
      <c r="C18" s="160" t="s">
        <v>62</v>
      </c>
      <c r="E18" s="831"/>
      <c r="F18" s="832"/>
      <c r="H18" s="585"/>
      <c r="I18" s="586"/>
    </row>
    <row r="19" spans="2:9" x14ac:dyDescent="0.25">
      <c r="B19" s="558"/>
      <c r="C19" s="160" t="s">
        <v>63</v>
      </c>
      <c r="E19" s="833"/>
      <c r="F19" s="834"/>
      <c r="H19" s="585"/>
      <c r="I19" s="586"/>
    </row>
    <row r="20" spans="2:9" x14ac:dyDescent="0.25">
      <c r="B20" s="558"/>
      <c r="C20" s="160" t="s">
        <v>64</v>
      </c>
      <c r="E20" s="833"/>
      <c r="F20" s="834"/>
      <c r="H20" s="585"/>
      <c r="I20" s="586"/>
    </row>
    <row r="21" spans="2:9" x14ac:dyDescent="0.25">
      <c r="B21" s="558"/>
      <c r="C21" s="160" t="s">
        <v>65</v>
      </c>
      <c r="E21" s="833"/>
      <c r="F21" s="834"/>
      <c r="H21" s="585"/>
      <c r="I21" s="586"/>
    </row>
    <row r="22" spans="2:9" x14ac:dyDescent="0.25">
      <c r="B22" s="576"/>
      <c r="C22" s="161" t="s">
        <v>66</v>
      </c>
      <c r="E22" s="835"/>
      <c r="F22" s="836"/>
      <c r="H22" s="587"/>
      <c r="I22" s="588"/>
    </row>
    <row r="23" spans="2:9" ht="3" customHeight="1" x14ac:dyDescent="0.25"/>
    <row r="24" spans="2:9" ht="5.25" customHeight="1" x14ac:dyDescent="0.25"/>
  </sheetData>
  <sheetProtection algorithmName="SHA-512" hashValue="LGW9FRJFJ4cFuN+cCanrdv1YCX+Y5rr/fk8xm/jq63SktMcDBkxzfeddaarl0U0ZngFtGIlfeAtSxsF+Ei/6Wg==" saltValue="kbS+DQPg8gywTfbQHenugA==" spinCount="100000" sheet="1" objects="1" scenarios="1"/>
  <protectedRanges>
    <protectedRange algorithmName="SHA-512" hashValue="cTJC+ByogchqoyASR4LU60e9eVEDMommc3ejqSXUySx1YdcuSknZeUXfUCWEnxmz4mdxN2FnnWvpgxcRa87bfg==" saltValue="j/zA5NLfSBTicer9oKnq0Q==" spinCount="100000" sqref="E11:F17" name="Impoplásticosdeunsolouso"/>
  </protectedRanges>
  <mergeCells count="9">
    <mergeCell ref="H11:I22"/>
    <mergeCell ref="E18:F22"/>
    <mergeCell ref="B2:C6"/>
    <mergeCell ref="B7:C8"/>
    <mergeCell ref="E7:F9"/>
    <mergeCell ref="B9:C9"/>
    <mergeCell ref="B11:B22"/>
    <mergeCell ref="E11:E12"/>
    <mergeCell ref="F11:F12"/>
  </mergeCells>
  <hyperlinks>
    <hyperlink ref="B11:B22" location="Anual!A1" display="Calendario" xr:uid="{9A88A267-4501-4B62-AFA6-9181967C6843}"/>
    <hyperlink ref="C11" location="Enero!A1" display="Enero" xr:uid="{918071F8-E4AA-4CF5-928E-4539BBE19640}"/>
    <hyperlink ref="C12" location="Febrero!A1" display="Febrero" xr:uid="{5D926CE0-16EB-48CB-A5EE-6E8237BBD74F}"/>
    <hyperlink ref="C13" location="Marzo!A1" display="Marzo" xr:uid="{F5BFEDEB-50F8-4808-A028-2E3C8895DDF7}"/>
    <hyperlink ref="C14" location="Abril!A1" display="Abril" xr:uid="{8B790D3E-5303-430F-98F7-85228E63F4AE}"/>
    <hyperlink ref="C15" location="Mayo!A1" display="Mayo" xr:uid="{35BBE5C5-1C67-49F5-B881-807330CFFED9}"/>
    <hyperlink ref="C16" location="Junio!A1" display="Junio" xr:uid="{A15A821A-CACF-42A9-9788-26F78B407DBC}"/>
    <hyperlink ref="C17" location="Julio!A1" display="Julio" xr:uid="{DC552055-E9C4-4602-99F5-80DA7D33E076}"/>
    <hyperlink ref="C18" location="Agosto!A1" display="Agosto" xr:uid="{D020BE16-DFDF-4332-99AA-30F24192A2E6}"/>
    <hyperlink ref="C19" location="Septiembre!A1" display="Septiembre" xr:uid="{EE728F95-153D-4A68-AA5B-8889F25A2EB2}"/>
    <hyperlink ref="C20" location="Octubre!A1" display="Octubre" xr:uid="{044F5750-2C1F-44B9-9F93-A4AD4AC4AECB}"/>
    <hyperlink ref="C21" location="Noviembre!A1" display="Noviembre" xr:uid="{4A5CFA28-B928-447F-93C5-C27AD53903CF}"/>
    <hyperlink ref="C22" location="Diciembre!A1" display="Diciembre" xr:uid="{D1BCB05E-0C45-475F-A628-E7255FC83C56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54210-C8E9-40E9-BE1D-0A328DA4A9FE}">
  <dimension ref="A1:S31"/>
  <sheetViews>
    <sheetView showGridLines="0" showRowColHeaders="0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8.7109375" customWidth="1"/>
    <col min="6" max="8" width="23.85546875" bestFit="1" customWidth="1"/>
    <col min="9" max="9" width="0.85546875" style="10" customWidth="1"/>
    <col min="10" max="10" width="8.7109375" customWidth="1"/>
    <col min="11" max="13" width="23.85546875" bestFit="1" customWidth="1"/>
    <col min="14" max="14" width="0.85546875" customWidth="1"/>
    <col min="15" max="15" width="8.7109375" customWidth="1"/>
    <col min="16" max="18" width="23.85546875" bestFit="1" customWidth="1"/>
    <col min="19" max="19" width="0.85546875" customWidth="1"/>
    <col min="20" max="16384" width="11.42578125" hidden="1"/>
  </cols>
  <sheetData>
    <row r="1" spans="2:18" ht="28.5" customHeight="1" x14ac:dyDescent="0.25"/>
    <row r="2" spans="2:18" ht="15" customHeight="1" x14ac:dyDescent="0.25">
      <c r="B2" s="546"/>
      <c r="C2" s="546"/>
    </row>
    <row r="3" spans="2:18" ht="15.75" x14ac:dyDescent="0.25">
      <c r="B3" s="546"/>
      <c r="C3" s="546"/>
      <c r="E3" s="562" t="s">
        <v>246</v>
      </c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2:18" x14ac:dyDescent="0.25">
      <c r="B4" s="546"/>
      <c r="C4" s="546"/>
    </row>
    <row r="5" spans="2:18" ht="15.75" customHeight="1" x14ac:dyDescent="0.25">
      <c r="B5" s="546"/>
      <c r="C5" s="546"/>
      <c r="E5" s="147" t="s">
        <v>240</v>
      </c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</row>
    <row r="6" spans="2:18" x14ac:dyDescent="0.25">
      <c r="B6" s="546"/>
      <c r="C6" s="546"/>
    </row>
    <row r="7" spans="2:18" ht="15" customHeight="1" x14ac:dyDescent="0.25">
      <c r="B7" s="563" t="s">
        <v>47</v>
      </c>
      <c r="C7" s="563"/>
      <c r="E7" s="564" t="s">
        <v>245</v>
      </c>
      <c r="F7" s="628"/>
      <c r="G7" s="628"/>
      <c r="H7" s="565"/>
      <c r="I7" s="149"/>
      <c r="J7" s="564" t="s">
        <v>245</v>
      </c>
      <c r="K7" s="628"/>
      <c r="L7" s="628"/>
      <c r="M7" s="565"/>
      <c r="N7" s="150"/>
      <c r="O7" s="564" t="s">
        <v>245</v>
      </c>
      <c r="P7" s="628"/>
      <c r="Q7" s="628"/>
      <c r="R7" s="565"/>
    </row>
    <row r="8" spans="2:18" x14ac:dyDescent="0.25">
      <c r="B8" s="563"/>
      <c r="C8" s="563"/>
      <c r="E8" s="566"/>
      <c r="F8" s="629"/>
      <c r="G8" s="629"/>
      <c r="H8" s="567"/>
      <c r="I8" s="149"/>
      <c r="J8" s="566"/>
      <c r="K8" s="629"/>
      <c r="L8" s="629"/>
      <c r="M8" s="567"/>
      <c r="N8" s="150"/>
      <c r="O8" s="566"/>
      <c r="P8" s="629"/>
      <c r="Q8" s="629"/>
      <c r="R8" s="567"/>
    </row>
    <row r="9" spans="2:18" x14ac:dyDescent="0.25">
      <c r="B9" s="555" t="s">
        <v>67</v>
      </c>
      <c r="C9" s="556"/>
      <c r="E9" s="568"/>
      <c r="F9" s="630"/>
      <c r="G9" s="630"/>
      <c r="H9" s="569"/>
      <c r="I9" s="149"/>
      <c r="J9" s="568"/>
      <c r="K9" s="630"/>
      <c r="L9" s="630"/>
      <c r="M9" s="569"/>
      <c r="N9" s="150"/>
      <c r="O9" s="568"/>
      <c r="P9" s="630"/>
      <c r="Q9" s="630"/>
      <c r="R9" s="569"/>
    </row>
    <row r="10" spans="2:18" x14ac:dyDescent="0.25">
      <c r="B10" s="173"/>
      <c r="C10" s="172" t="s">
        <v>51</v>
      </c>
    </row>
    <row r="11" spans="2:18" ht="15" customHeight="1" x14ac:dyDescent="0.25">
      <c r="B11" s="557" t="s">
        <v>52</v>
      </c>
      <c r="C11" s="159" t="s">
        <v>53</v>
      </c>
      <c r="E11" s="559" t="s">
        <v>241</v>
      </c>
      <c r="F11" s="549" t="s">
        <v>242</v>
      </c>
      <c r="G11" s="549" t="s">
        <v>243</v>
      </c>
      <c r="H11" s="549" t="s">
        <v>244</v>
      </c>
      <c r="I11" s="149"/>
      <c r="J11" s="559" t="s">
        <v>241</v>
      </c>
      <c r="K11" s="549" t="s">
        <v>242</v>
      </c>
      <c r="L11" s="549" t="s">
        <v>243</v>
      </c>
      <c r="M11" s="549" t="s">
        <v>244</v>
      </c>
      <c r="N11" s="150"/>
      <c r="O11" s="559" t="s">
        <v>241</v>
      </c>
      <c r="P11" s="549" t="s">
        <v>242</v>
      </c>
      <c r="Q11" s="549" t="s">
        <v>243</v>
      </c>
      <c r="R11" s="549" t="s">
        <v>244</v>
      </c>
    </row>
    <row r="12" spans="2:18" x14ac:dyDescent="0.25">
      <c r="B12" s="558"/>
      <c r="C12" s="160" t="s">
        <v>56</v>
      </c>
      <c r="E12" s="560"/>
      <c r="F12" s="550"/>
      <c r="G12" s="550"/>
      <c r="H12" s="550"/>
      <c r="I12" s="149"/>
      <c r="J12" s="560"/>
      <c r="K12" s="550"/>
      <c r="L12" s="550"/>
      <c r="M12" s="550"/>
      <c r="N12" s="150"/>
      <c r="O12" s="560"/>
      <c r="P12" s="550"/>
      <c r="Q12" s="550"/>
      <c r="R12" s="550"/>
    </row>
    <row r="13" spans="2:18" x14ac:dyDescent="0.25">
      <c r="B13" s="558"/>
      <c r="C13" s="160" t="s">
        <v>57</v>
      </c>
      <c r="E13" s="151">
        <v>1</v>
      </c>
      <c r="F13" s="154">
        <v>44933</v>
      </c>
      <c r="G13" s="154">
        <v>44939</v>
      </c>
      <c r="H13" s="154">
        <v>44943</v>
      </c>
      <c r="J13" s="151">
        <v>19</v>
      </c>
      <c r="K13" s="154">
        <v>45059</v>
      </c>
      <c r="L13" s="154">
        <v>45065</v>
      </c>
      <c r="M13" s="154">
        <v>45070</v>
      </c>
      <c r="O13" s="151">
        <v>37</v>
      </c>
      <c r="P13" s="154">
        <v>45185</v>
      </c>
      <c r="Q13" s="154">
        <v>45191</v>
      </c>
      <c r="R13" s="154">
        <v>45195</v>
      </c>
    </row>
    <row r="14" spans="2:18" x14ac:dyDescent="0.25">
      <c r="B14" s="558"/>
      <c r="C14" s="160" t="s">
        <v>58</v>
      </c>
      <c r="E14" s="153">
        <v>2</v>
      </c>
      <c r="F14" s="154">
        <v>44940</v>
      </c>
      <c r="G14" s="154">
        <v>44946</v>
      </c>
      <c r="H14" s="154">
        <v>44950</v>
      </c>
      <c r="J14" s="171">
        <v>20</v>
      </c>
      <c r="K14" s="154">
        <v>45066</v>
      </c>
      <c r="L14" s="154">
        <v>45072</v>
      </c>
      <c r="M14" s="154">
        <v>45076</v>
      </c>
      <c r="O14" s="153">
        <v>38</v>
      </c>
      <c r="P14" s="154">
        <v>45192</v>
      </c>
      <c r="Q14" s="154">
        <v>45198</v>
      </c>
      <c r="R14" s="154">
        <v>45202</v>
      </c>
    </row>
    <row r="15" spans="2:18" x14ac:dyDescent="0.25">
      <c r="B15" s="558"/>
      <c r="C15" s="160" t="s">
        <v>59</v>
      </c>
      <c r="E15" s="153">
        <v>3</v>
      </c>
      <c r="F15" s="154">
        <v>44947</v>
      </c>
      <c r="G15" s="154">
        <v>44953</v>
      </c>
      <c r="H15" s="154">
        <v>44957</v>
      </c>
      <c r="J15" s="197">
        <v>21</v>
      </c>
      <c r="K15" s="154">
        <v>45073</v>
      </c>
      <c r="L15" s="154">
        <v>45079</v>
      </c>
      <c r="M15" s="154">
        <v>45083</v>
      </c>
      <c r="O15" s="194">
        <v>39</v>
      </c>
      <c r="P15" s="154">
        <v>45199</v>
      </c>
      <c r="Q15" s="154">
        <v>45205</v>
      </c>
      <c r="R15" s="154">
        <v>45209</v>
      </c>
    </row>
    <row r="16" spans="2:18" x14ac:dyDescent="0.25">
      <c r="B16" s="558"/>
      <c r="C16" s="160" t="s">
        <v>60</v>
      </c>
      <c r="E16" s="194">
        <v>4</v>
      </c>
      <c r="F16" s="154">
        <v>44954</v>
      </c>
      <c r="G16" s="154">
        <v>44960</v>
      </c>
      <c r="H16" s="154">
        <v>44964</v>
      </c>
      <c r="J16" s="153">
        <v>22</v>
      </c>
      <c r="K16" s="154">
        <v>45080</v>
      </c>
      <c r="L16" s="154">
        <v>45086</v>
      </c>
      <c r="M16" s="154">
        <v>45091</v>
      </c>
      <c r="O16" s="153">
        <v>40</v>
      </c>
      <c r="P16" s="154">
        <v>45206</v>
      </c>
      <c r="Q16" s="154">
        <v>45212</v>
      </c>
      <c r="R16" s="154">
        <v>45217</v>
      </c>
    </row>
    <row r="17" spans="2:18" x14ac:dyDescent="0.25">
      <c r="B17" s="558"/>
      <c r="C17" s="160" t="s">
        <v>61</v>
      </c>
      <c r="E17" s="153">
        <v>5</v>
      </c>
      <c r="F17" s="154">
        <v>44961</v>
      </c>
      <c r="G17" s="154">
        <v>44967</v>
      </c>
      <c r="H17" s="154">
        <v>44971</v>
      </c>
      <c r="J17" s="194">
        <v>23</v>
      </c>
      <c r="K17" s="154">
        <v>45087</v>
      </c>
      <c r="L17" s="154">
        <v>45093</v>
      </c>
      <c r="M17" s="154">
        <v>45098</v>
      </c>
      <c r="O17" s="194">
        <v>41</v>
      </c>
      <c r="P17" s="154">
        <v>45213</v>
      </c>
      <c r="Q17" s="154">
        <v>45219</v>
      </c>
      <c r="R17" s="154">
        <v>45223</v>
      </c>
    </row>
    <row r="18" spans="2:18" x14ac:dyDescent="0.25">
      <c r="B18" s="558"/>
      <c r="C18" s="160" t="s">
        <v>62</v>
      </c>
      <c r="E18" s="153">
        <v>6</v>
      </c>
      <c r="F18" s="154">
        <v>44968</v>
      </c>
      <c r="G18" s="154">
        <v>44974</v>
      </c>
      <c r="H18" s="154">
        <v>44978</v>
      </c>
      <c r="J18" s="153">
        <v>24</v>
      </c>
      <c r="K18" s="154">
        <v>45094</v>
      </c>
      <c r="L18" s="154">
        <v>45100</v>
      </c>
      <c r="M18" s="154">
        <v>45104</v>
      </c>
      <c r="N18" s="200"/>
      <c r="O18" s="198">
        <v>42</v>
      </c>
      <c r="P18" s="154">
        <v>45220</v>
      </c>
      <c r="Q18" s="154">
        <v>45226</v>
      </c>
      <c r="R18" s="154">
        <v>45230</v>
      </c>
    </row>
    <row r="19" spans="2:18" x14ac:dyDescent="0.25">
      <c r="B19" s="558"/>
      <c r="C19" s="160" t="s">
        <v>63</v>
      </c>
      <c r="E19" s="194">
        <v>7</v>
      </c>
      <c r="F19" s="154">
        <v>44975</v>
      </c>
      <c r="G19" s="154">
        <v>44981</v>
      </c>
      <c r="H19" s="154">
        <v>44985</v>
      </c>
      <c r="J19" s="194">
        <v>25</v>
      </c>
      <c r="K19" s="154">
        <v>45101</v>
      </c>
      <c r="L19" s="154">
        <v>45107</v>
      </c>
      <c r="M19" s="154">
        <v>45112</v>
      </c>
      <c r="N19" s="200"/>
      <c r="O19" s="199">
        <v>43</v>
      </c>
      <c r="P19" s="154">
        <v>45227</v>
      </c>
      <c r="Q19" s="154">
        <v>45233</v>
      </c>
      <c r="R19" s="154">
        <v>45238</v>
      </c>
    </row>
    <row r="20" spans="2:18" x14ac:dyDescent="0.25">
      <c r="B20" s="558"/>
      <c r="C20" s="160" t="s">
        <v>64</v>
      </c>
      <c r="E20" s="153">
        <v>8</v>
      </c>
      <c r="F20" s="154">
        <v>44982</v>
      </c>
      <c r="G20" s="154">
        <v>44988</v>
      </c>
      <c r="H20" s="154">
        <v>44992</v>
      </c>
      <c r="J20" s="153">
        <v>26</v>
      </c>
      <c r="K20" s="154">
        <v>45108</v>
      </c>
      <c r="L20" s="154">
        <v>45114</v>
      </c>
      <c r="M20" s="154">
        <v>45118</v>
      </c>
      <c r="O20" s="153">
        <v>44</v>
      </c>
      <c r="P20" s="154">
        <v>45234</v>
      </c>
      <c r="Q20" s="154">
        <v>45240</v>
      </c>
      <c r="R20" s="154">
        <v>45245</v>
      </c>
    </row>
    <row r="21" spans="2:18" x14ac:dyDescent="0.25">
      <c r="B21" s="558"/>
      <c r="C21" s="160" t="s">
        <v>65</v>
      </c>
      <c r="E21" s="153">
        <v>9</v>
      </c>
      <c r="F21" s="154">
        <v>44989</v>
      </c>
      <c r="G21" s="154">
        <v>44995</v>
      </c>
      <c r="H21" s="154">
        <v>44999</v>
      </c>
      <c r="J21" s="194">
        <v>27</v>
      </c>
      <c r="K21" s="154">
        <v>45115</v>
      </c>
      <c r="L21" s="154">
        <v>45121</v>
      </c>
      <c r="M21" s="154">
        <v>45125</v>
      </c>
      <c r="O21" s="194">
        <v>45</v>
      </c>
      <c r="P21" s="154">
        <v>45241</v>
      </c>
      <c r="Q21" s="154">
        <v>45247</v>
      </c>
      <c r="R21" s="154">
        <v>45251</v>
      </c>
    </row>
    <row r="22" spans="2:18" ht="15.75" thickBot="1" x14ac:dyDescent="0.3">
      <c r="B22" s="558"/>
      <c r="C22" s="160" t="s">
        <v>66</v>
      </c>
      <c r="E22" s="194">
        <v>10</v>
      </c>
      <c r="F22" s="154">
        <v>44996</v>
      </c>
      <c r="G22" s="154">
        <v>45002</v>
      </c>
      <c r="H22" s="154">
        <v>45007</v>
      </c>
      <c r="I22" s="195"/>
      <c r="J22" s="153">
        <v>28</v>
      </c>
      <c r="K22" s="154">
        <v>45122</v>
      </c>
      <c r="L22" s="154">
        <v>45128</v>
      </c>
      <c r="M22" s="154">
        <v>45132</v>
      </c>
      <c r="N22" s="196"/>
      <c r="O22" s="153">
        <v>46</v>
      </c>
      <c r="P22" s="154">
        <v>45248</v>
      </c>
      <c r="Q22" s="154">
        <v>45254</v>
      </c>
      <c r="R22" s="154">
        <v>45258</v>
      </c>
    </row>
    <row r="23" spans="2:18" ht="15" customHeight="1" thickTop="1" thickBot="1" x14ac:dyDescent="0.3">
      <c r="B23" s="615"/>
      <c r="C23" s="615"/>
      <c r="E23" s="153">
        <v>11</v>
      </c>
      <c r="F23" s="154">
        <v>45003</v>
      </c>
      <c r="G23" s="154">
        <v>45009</v>
      </c>
      <c r="H23" s="154">
        <v>45013</v>
      </c>
      <c r="J23" s="194">
        <v>29</v>
      </c>
      <c r="K23" s="154">
        <v>45129</v>
      </c>
      <c r="L23" s="154">
        <v>45135</v>
      </c>
      <c r="M23" s="154">
        <v>45139</v>
      </c>
      <c r="O23" s="194">
        <v>47</v>
      </c>
      <c r="P23" s="154">
        <v>45255</v>
      </c>
      <c r="Q23" s="154">
        <v>45261</v>
      </c>
      <c r="R23" s="154">
        <v>45265</v>
      </c>
    </row>
    <row r="24" spans="2:18" ht="15" customHeight="1" thickTop="1" thickBot="1" x14ac:dyDescent="0.3">
      <c r="B24" s="615"/>
      <c r="C24" s="615"/>
      <c r="E24" s="153">
        <v>12</v>
      </c>
      <c r="F24" s="154">
        <v>45010</v>
      </c>
      <c r="G24" s="154">
        <v>45016</v>
      </c>
      <c r="H24" s="154">
        <v>45020</v>
      </c>
      <c r="J24" s="153">
        <v>30</v>
      </c>
      <c r="K24" s="154">
        <v>45136</v>
      </c>
      <c r="L24" s="154">
        <v>45142</v>
      </c>
      <c r="M24" s="154">
        <v>45147</v>
      </c>
      <c r="O24" s="153">
        <v>48</v>
      </c>
      <c r="P24" s="154">
        <v>45262</v>
      </c>
      <c r="Q24" s="154">
        <v>45268</v>
      </c>
      <c r="R24" s="154">
        <v>45272</v>
      </c>
    </row>
    <row r="25" spans="2:18" ht="15" customHeight="1" thickTop="1" thickBot="1" x14ac:dyDescent="0.3">
      <c r="B25" s="615"/>
      <c r="C25" s="615"/>
      <c r="E25" s="194">
        <v>13</v>
      </c>
      <c r="F25" s="154">
        <v>45017</v>
      </c>
      <c r="G25" s="154">
        <v>45023</v>
      </c>
      <c r="H25" s="154">
        <v>45027</v>
      </c>
      <c r="J25" s="194">
        <v>31</v>
      </c>
      <c r="K25" s="154">
        <v>45051</v>
      </c>
      <c r="L25" s="154">
        <v>45057</v>
      </c>
      <c r="M25" s="154">
        <v>45061</v>
      </c>
      <c r="O25" s="194">
        <v>49</v>
      </c>
      <c r="P25" s="154">
        <v>45269</v>
      </c>
      <c r="Q25" s="154">
        <v>45275</v>
      </c>
      <c r="R25" s="154">
        <v>45279</v>
      </c>
    </row>
    <row r="26" spans="2:18" ht="15" customHeight="1" thickTop="1" thickBot="1" x14ac:dyDescent="0.3">
      <c r="B26" s="615"/>
      <c r="C26" s="615"/>
      <c r="E26" s="153">
        <v>14</v>
      </c>
      <c r="F26" s="154">
        <v>45024</v>
      </c>
      <c r="G26" s="154">
        <v>45030</v>
      </c>
      <c r="H26" s="154">
        <v>45034</v>
      </c>
      <c r="J26" s="153">
        <v>32</v>
      </c>
      <c r="K26" s="154">
        <v>45150</v>
      </c>
      <c r="L26" s="154">
        <v>45156</v>
      </c>
      <c r="M26" s="154">
        <v>45161</v>
      </c>
      <c r="N26" s="200"/>
      <c r="O26" s="153">
        <v>50</v>
      </c>
      <c r="P26" s="154">
        <v>45276</v>
      </c>
      <c r="Q26" s="154">
        <v>45282</v>
      </c>
      <c r="R26" s="154">
        <v>45287</v>
      </c>
    </row>
    <row r="27" spans="2:18" ht="15" customHeight="1" thickTop="1" thickBot="1" x14ac:dyDescent="0.3">
      <c r="B27" s="615"/>
      <c r="C27" s="615"/>
      <c r="E27" s="153">
        <v>15</v>
      </c>
      <c r="F27" s="154">
        <v>45031</v>
      </c>
      <c r="G27" s="154">
        <v>45037</v>
      </c>
      <c r="H27" s="154">
        <v>45041</v>
      </c>
      <c r="J27" s="194">
        <v>33</v>
      </c>
      <c r="K27" s="154">
        <v>45157</v>
      </c>
      <c r="L27" s="154">
        <v>45163</v>
      </c>
      <c r="M27" s="154">
        <v>45167</v>
      </c>
      <c r="N27" s="200"/>
      <c r="O27" s="194">
        <v>51</v>
      </c>
      <c r="P27" s="154">
        <v>45283</v>
      </c>
      <c r="Q27" s="154">
        <v>45289</v>
      </c>
      <c r="R27" s="154">
        <v>45294</v>
      </c>
    </row>
    <row r="28" spans="2:18" ht="15" customHeight="1" thickTop="1" thickBot="1" x14ac:dyDescent="0.3">
      <c r="B28" s="615"/>
      <c r="C28" s="615"/>
      <c r="E28" s="194">
        <v>16</v>
      </c>
      <c r="F28" s="154">
        <v>45038</v>
      </c>
      <c r="G28" s="154">
        <v>45044</v>
      </c>
      <c r="H28" s="154">
        <v>45049</v>
      </c>
      <c r="J28" s="153">
        <v>34</v>
      </c>
      <c r="K28" s="154">
        <v>45164</v>
      </c>
      <c r="L28" s="154">
        <v>45170</v>
      </c>
      <c r="M28" s="154">
        <v>45174</v>
      </c>
      <c r="O28" s="171">
        <v>52</v>
      </c>
      <c r="P28" s="166">
        <v>45290</v>
      </c>
      <c r="Q28" s="166">
        <v>45296</v>
      </c>
      <c r="R28" s="166">
        <v>45301</v>
      </c>
    </row>
    <row r="29" spans="2:18" ht="15" customHeight="1" thickTop="1" thickBot="1" x14ac:dyDescent="0.3">
      <c r="B29" s="615"/>
      <c r="C29" s="615"/>
      <c r="E29" s="153">
        <v>17</v>
      </c>
      <c r="F29" s="154">
        <v>45045</v>
      </c>
      <c r="G29" s="154">
        <v>45051</v>
      </c>
      <c r="H29" s="154">
        <v>45055</v>
      </c>
      <c r="J29" s="194">
        <v>35</v>
      </c>
      <c r="K29" s="154">
        <v>45171</v>
      </c>
      <c r="L29" s="154">
        <v>45177</v>
      </c>
      <c r="M29" s="154">
        <v>45181</v>
      </c>
      <c r="O29" s="631" t="s">
        <v>685</v>
      </c>
      <c r="P29" s="632"/>
      <c r="Q29" s="632"/>
      <c r="R29" s="632"/>
    </row>
    <row r="30" spans="2:18" ht="15" customHeight="1" thickTop="1" thickBot="1" x14ac:dyDescent="0.3">
      <c r="B30" s="615"/>
      <c r="C30" s="615"/>
      <c r="E30" s="174">
        <v>18</v>
      </c>
      <c r="F30" s="177">
        <v>45052</v>
      </c>
      <c r="G30" s="177">
        <v>45058</v>
      </c>
      <c r="H30" s="177">
        <v>45062</v>
      </c>
      <c r="J30" s="174">
        <v>36</v>
      </c>
      <c r="K30" s="177">
        <v>45178</v>
      </c>
      <c r="L30" s="177">
        <v>45184</v>
      </c>
      <c r="M30" s="177">
        <v>45188</v>
      </c>
      <c r="O30" s="632"/>
      <c r="P30" s="632"/>
      <c r="Q30" s="632"/>
      <c r="R30" s="632"/>
    </row>
    <row r="31" spans="2:18" ht="3" customHeight="1" thickTop="1" x14ac:dyDescent="0.25"/>
  </sheetData>
  <sheetProtection algorithmName="SHA-512" hashValue="aJ3FrqbAiUmKnPPbG2ER4DsgDwwtks/77l9dti4LNJCU3cKRNn6I2N6L8SbGN+CHQW+MeRrL6iWbJXyBPtMuTA==" saltValue="jIylknUZTD6euzAVXTGo/g==" spinCount="100000" sheet="1" objects="1" scenarios="1"/>
  <protectedRanges>
    <protectedRange algorithmName="SHA-512" hashValue="/5gGuPupsehDzlY5hdPEIB3zGnyBMNFPDfvcn1pK7X+31zmfJzXc4I9eSYPQyhideEOys6SO+OpE1jMiNkFu/g==" saltValue="XnGHo00tjLpaS0u9TSLMqg==" spinCount="100000" sqref="E7:R1048576" name="GMF"/>
  </protectedRanges>
  <mergeCells count="22">
    <mergeCell ref="L11:L12"/>
    <mergeCell ref="P11:P12"/>
    <mergeCell ref="Q11:Q12"/>
    <mergeCell ref="O29:R30"/>
    <mergeCell ref="R11:R12"/>
    <mergeCell ref="O11:O12"/>
    <mergeCell ref="B23:C30"/>
    <mergeCell ref="B2:C6"/>
    <mergeCell ref="E3:R3"/>
    <mergeCell ref="B7:C8"/>
    <mergeCell ref="E7:H9"/>
    <mergeCell ref="J7:M9"/>
    <mergeCell ref="O7:R9"/>
    <mergeCell ref="B9:C9"/>
    <mergeCell ref="B11:B22"/>
    <mergeCell ref="E11:E12"/>
    <mergeCell ref="H11:H12"/>
    <mergeCell ref="J11:J12"/>
    <mergeCell ref="M11:M12"/>
    <mergeCell ref="F11:F12"/>
    <mergeCell ref="G11:G12"/>
    <mergeCell ref="K11:K12"/>
  </mergeCells>
  <hyperlinks>
    <hyperlink ref="B11:B22" location="Anual!A1" display="Calendario" xr:uid="{688E0749-0A28-4C7E-8F1E-E1F85D13CDB5}"/>
    <hyperlink ref="C11" location="Enero!A1" display="Enero" xr:uid="{B8AA3D27-E37B-4A08-9348-F7139B8CE796}"/>
    <hyperlink ref="C12" location="Febrero!A1" display="Febrero" xr:uid="{F136F65A-9940-4CCC-B9A7-499393C8CA9A}"/>
    <hyperlink ref="C13" location="Marzo!A1" display="Marzo" xr:uid="{955675F7-B6A8-45CB-BC56-861B5E863414}"/>
    <hyperlink ref="C14" location="Abril!A1" display="Abril" xr:uid="{2CD5F5E6-F9E2-404A-AA5E-E033A4ED9D04}"/>
    <hyperlink ref="C15" location="Mayo!A1" display="Mayo" xr:uid="{85FE92B4-FCD7-48CB-9272-7235A57CFD87}"/>
    <hyperlink ref="C16" location="Junio!A1" display="Junio" xr:uid="{EC26E47D-D6D0-43AA-B476-252FDFDB3F80}"/>
    <hyperlink ref="C17" location="Julio!A1" display="Julio" xr:uid="{A4E8A838-FF05-471E-B2FB-783BBE281662}"/>
    <hyperlink ref="C18" location="Agosto!A1" display="Agosto" xr:uid="{EE6FB3E6-8A26-4E7D-94A6-9E6773A595AA}"/>
    <hyperlink ref="C19" location="Septiembre!A1" display="Septiembre" xr:uid="{EDBDD171-6EA8-4DBB-A1F7-3247A23179BC}"/>
    <hyperlink ref="C20" location="Octubre!A1" display="Octubre" xr:uid="{C7F3A2AB-BFED-4080-A426-BAF786DFEE7E}"/>
    <hyperlink ref="C21" location="Noviembre!A1" display="Noviembre" xr:uid="{1BA0955D-6995-456D-8277-D2501F90B8D6}"/>
    <hyperlink ref="C22" location="Diciembre!A1" display="Diciembre" xr:uid="{07344D3D-8027-49D0-A809-333E0DC36ED0}"/>
    <hyperlink ref="O29" r:id="rId1" xr:uid="{970146B0-425B-409B-8586-77ABCFA7D99F}"/>
  </hyperlinks>
  <pageMargins left="0.7" right="0.7" top="0.75" bottom="0.75" header="0.3" footer="0.3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60045-EB95-46CB-A732-275B82773387}">
  <dimension ref="A1:O30"/>
  <sheetViews>
    <sheetView showGridLines="0" showRowColHeaders="0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61.5703125" customWidth="1"/>
    <col min="6" max="6" width="23.85546875" bestFit="1" customWidth="1"/>
    <col min="7" max="7" width="0.85546875" style="10" customWidth="1"/>
    <col min="8" max="8" width="13.7109375" customWidth="1"/>
    <col min="9" max="9" width="20.7109375" customWidth="1"/>
    <col min="10" max="10" width="0.85546875" style="10" customWidth="1"/>
    <col min="11" max="13" width="11.42578125" hidden="1" customWidth="1"/>
    <col min="14" max="14" width="255.7109375" hidden="1" customWidth="1"/>
    <col min="15" max="15" width="94.42578125" hidden="1" customWidth="1"/>
    <col min="16" max="16384" width="11.42578125" hidden="1"/>
  </cols>
  <sheetData>
    <row r="1" spans="2:15" ht="28.5" customHeight="1" x14ac:dyDescent="0.25"/>
    <row r="2" spans="2:15" ht="15" customHeight="1" x14ac:dyDescent="0.25">
      <c r="B2" s="546"/>
      <c r="C2" s="546"/>
      <c r="N2" s="205" t="s">
        <v>276</v>
      </c>
      <c r="O2" s="206" t="s">
        <v>277</v>
      </c>
    </row>
    <row r="3" spans="2:15" ht="15.75" x14ac:dyDescent="0.25">
      <c r="B3" s="546"/>
      <c r="C3" s="546"/>
      <c r="E3" s="188" t="s">
        <v>275</v>
      </c>
      <c r="F3" s="188"/>
      <c r="G3" s="188"/>
      <c r="H3" s="188"/>
      <c r="I3" s="188"/>
      <c r="J3" s="191"/>
      <c r="N3" s="207" t="s">
        <v>278</v>
      </c>
      <c r="O3" s="208">
        <v>45016</v>
      </c>
    </row>
    <row r="4" spans="2:15" ht="15.75" x14ac:dyDescent="0.25">
      <c r="B4" s="546"/>
      <c r="C4" s="546"/>
      <c r="N4" s="207" t="s">
        <v>279</v>
      </c>
      <c r="O4" s="208">
        <f>+O3</f>
        <v>45016</v>
      </c>
    </row>
    <row r="5" spans="2:15" ht="15.75" customHeight="1" x14ac:dyDescent="0.25">
      <c r="B5" s="546"/>
      <c r="C5" s="546"/>
      <c r="E5" s="147"/>
      <c r="F5" s="147"/>
      <c r="G5" s="147"/>
      <c r="H5" s="147"/>
      <c r="I5" s="147"/>
      <c r="J5" s="187"/>
      <c r="N5" s="209" t="s">
        <v>280</v>
      </c>
      <c r="O5" s="210" t="s">
        <v>281</v>
      </c>
    </row>
    <row r="6" spans="2:15" ht="15" customHeight="1" x14ac:dyDescent="0.25">
      <c r="B6" s="546"/>
      <c r="C6" s="546"/>
      <c r="E6" s="148"/>
      <c r="N6" s="211" t="s">
        <v>282</v>
      </c>
      <c r="O6" s="210" t="s">
        <v>283</v>
      </c>
    </row>
    <row r="7" spans="2:15" ht="15" customHeight="1" x14ac:dyDescent="0.25">
      <c r="B7" s="563" t="s">
        <v>47</v>
      </c>
      <c r="C7" s="563"/>
      <c r="E7" s="564" t="s">
        <v>276</v>
      </c>
      <c r="F7" s="565"/>
      <c r="G7" s="149"/>
      <c r="H7" s="564" t="s">
        <v>286</v>
      </c>
      <c r="I7" s="565"/>
      <c r="J7" s="149"/>
      <c r="N7" s="211" t="s">
        <v>284</v>
      </c>
      <c r="O7" s="212">
        <v>45000</v>
      </c>
    </row>
    <row r="8" spans="2:15" ht="15" customHeight="1" x14ac:dyDescent="0.25">
      <c r="B8" s="563"/>
      <c r="C8" s="563"/>
      <c r="E8" s="566"/>
      <c r="F8" s="567"/>
      <c r="G8" s="149"/>
      <c r="H8" s="566"/>
      <c r="I8" s="567"/>
      <c r="J8" s="149"/>
      <c r="N8" s="209" t="s">
        <v>285</v>
      </c>
      <c r="O8" s="213">
        <f>+O7</f>
        <v>45000</v>
      </c>
    </row>
    <row r="9" spans="2:15" ht="15" customHeight="1" x14ac:dyDescent="0.25">
      <c r="B9" s="555" t="s">
        <v>67</v>
      </c>
      <c r="C9" s="556"/>
      <c r="E9" s="568"/>
      <c r="F9" s="569"/>
      <c r="G9" s="149"/>
      <c r="H9" s="568"/>
      <c r="I9" s="569"/>
      <c r="J9" s="149"/>
    </row>
    <row r="10" spans="2:15" x14ac:dyDescent="0.25">
      <c r="B10" s="173"/>
      <c r="C10" s="172" t="s">
        <v>51</v>
      </c>
    </row>
    <row r="11" spans="2:15" ht="15" customHeight="1" x14ac:dyDescent="0.25">
      <c r="B11" s="557" t="s">
        <v>52</v>
      </c>
      <c r="C11" s="159" t="s">
        <v>53</v>
      </c>
      <c r="E11" s="633" t="s">
        <v>278</v>
      </c>
      <c r="F11" s="634"/>
      <c r="G11" s="175"/>
      <c r="H11" s="645">
        <v>45016</v>
      </c>
      <c r="I11" s="646"/>
      <c r="J11" s="149"/>
    </row>
    <row r="12" spans="2:15" x14ac:dyDescent="0.25">
      <c r="B12" s="558"/>
      <c r="C12" s="160" t="s">
        <v>56</v>
      </c>
      <c r="E12" s="635"/>
      <c r="F12" s="636"/>
      <c r="G12" s="175"/>
      <c r="H12" s="647"/>
      <c r="I12" s="648"/>
      <c r="J12" s="149"/>
    </row>
    <row r="13" spans="2:15" x14ac:dyDescent="0.25">
      <c r="B13" s="558"/>
      <c r="C13" s="160" t="s">
        <v>57</v>
      </c>
      <c r="E13" s="633" t="s">
        <v>279</v>
      </c>
      <c r="F13" s="634"/>
      <c r="G13" s="176"/>
      <c r="H13" s="645">
        <v>45016</v>
      </c>
      <c r="I13" s="646"/>
    </row>
    <row r="14" spans="2:15" x14ac:dyDescent="0.25">
      <c r="B14" s="558"/>
      <c r="C14" s="160" t="s">
        <v>58</v>
      </c>
      <c r="E14" s="635"/>
      <c r="F14" s="636"/>
      <c r="G14" s="176"/>
      <c r="H14" s="647"/>
      <c r="I14" s="648"/>
    </row>
    <row r="15" spans="2:15" ht="15" customHeight="1" x14ac:dyDescent="0.25">
      <c r="B15" s="558"/>
      <c r="C15" s="160" t="s">
        <v>59</v>
      </c>
      <c r="E15" s="633" t="s">
        <v>280</v>
      </c>
      <c r="F15" s="634"/>
      <c r="G15" s="176"/>
      <c r="H15" s="651" t="s">
        <v>281</v>
      </c>
      <c r="I15" s="652"/>
    </row>
    <row r="16" spans="2:15" x14ac:dyDescent="0.25">
      <c r="B16" s="558"/>
      <c r="C16" s="160" t="s">
        <v>60</v>
      </c>
      <c r="E16" s="635"/>
      <c r="F16" s="636"/>
      <c r="G16" s="176"/>
      <c r="H16" s="655"/>
      <c r="I16" s="656"/>
    </row>
    <row r="17" spans="2:9" x14ac:dyDescent="0.25">
      <c r="B17" s="558"/>
      <c r="C17" s="160" t="s">
        <v>61</v>
      </c>
      <c r="E17" s="635"/>
      <c r="F17" s="636"/>
      <c r="G17" s="176"/>
      <c r="H17" s="655"/>
      <c r="I17" s="656"/>
    </row>
    <row r="18" spans="2:9" ht="15" customHeight="1" x14ac:dyDescent="0.25">
      <c r="B18" s="558"/>
      <c r="C18" s="160" t="s">
        <v>62</v>
      </c>
      <c r="E18" s="633" t="s">
        <v>282</v>
      </c>
      <c r="F18" s="634"/>
      <c r="H18" s="651" t="s">
        <v>283</v>
      </c>
      <c r="I18" s="652"/>
    </row>
    <row r="19" spans="2:9" x14ac:dyDescent="0.25">
      <c r="B19" s="558"/>
      <c r="C19" s="160" t="s">
        <v>63</v>
      </c>
      <c r="E19" s="637"/>
      <c r="F19" s="638"/>
      <c r="H19" s="653"/>
      <c r="I19" s="654"/>
    </row>
    <row r="20" spans="2:9" ht="15" customHeight="1" x14ac:dyDescent="0.25">
      <c r="B20" s="558"/>
      <c r="C20" s="160" t="s">
        <v>64</v>
      </c>
      <c r="E20" s="633" t="s">
        <v>287</v>
      </c>
      <c r="F20" s="634"/>
      <c r="H20" s="645">
        <v>45016</v>
      </c>
      <c r="I20" s="646"/>
    </row>
    <row r="21" spans="2:9" x14ac:dyDescent="0.25">
      <c r="B21" s="558"/>
      <c r="C21" s="160" t="s">
        <v>65</v>
      </c>
      <c r="E21" s="635"/>
      <c r="F21" s="636"/>
      <c r="H21" s="647"/>
      <c r="I21" s="648"/>
    </row>
    <row r="22" spans="2:9" ht="15.75" thickBot="1" x14ac:dyDescent="0.3">
      <c r="B22" s="558"/>
      <c r="C22" s="160" t="s">
        <v>66</v>
      </c>
      <c r="E22" s="635"/>
      <c r="F22" s="636"/>
      <c r="H22" s="647"/>
      <c r="I22" s="648"/>
    </row>
    <row r="23" spans="2:9" ht="15" customHeight="1" thickTop="1" thickBot="1" x14ac:dyDescent="0.3">
      <c r="B23" s="615"/>
      <c r="C23" s="615"/>
      <c r="E23" s="637"/>
      <c r="F23" s="638"/>
      <c r="H23" s="649"/>
      <c r="I23" s="650"/>
    </row>
    <row r="24" spans="2:9" ht="15" customHeight="1" thickTop="1" thickBot="1" x14ac:dyDescent="0.3">
      <c r="B24" s="615"/>
      <c r="C24" s="615"/>
      <c r="E24" s="639" t="s">
        <v>285</v>
      </c>
      <c r="F24" s="640"/>
      <c r="H24" s="645">
        <v>45016</v>
      </c>
      <c r="I24" s="646"/>
    </row>
    <row r="25" spans="2:9" ht="3.75" customHeight="1" thickTop="1" thickBot="1" x14ac:dyDescent="0.3">
      <c r="B25" s="615"/>
      <c r="C25" s="615"/>
      <c r="E25" s="641"/>
      <c r="F25" s="642"/>
      <c r="H25" s="647"/>
      <c r="I25" s="648"/>
    </row>
    <row r="26" spans="2:9" ht="15" customHeight="1" thickTop="1" thickBot="1" x14ac:dyDescent="0.3">
      <c r="B26" s="615"/>
      <c r="C26" s="615"/>
      <c r="E26" s="641"/>
      <c r="F26" s="642"/>
      <c r="H26" s="647"/>
      <c r="I26" s="648"/>
    </row>
    <row r="27" spans="2:9" ht="15" customHeight="1" thickTop="1" thickBot="1" x14ac:dyDescent="0.3">
      <c r="B27" s="615"/>
      <c r="C27" s="615"/>
      <c r="E27" s="641"/>
      <c r="F27" s="642"/>
      <c r="H27" s="647"/>
      <c r="I27" s="648"/>
    </row>
    <row r="28" spans="2:9" ht="15" customHeight="1" thickTop="1" thickBot="1" x14ac:dyDescent="0.3">
      <c r="B28" s="615"/>
      <c r="C28" s="615"/>
      <c r="E28" s="641"/>
      <c r="F28" s="642"/>
      <c r="H28" s="647"/>
      <c r="I28" s="648"/>
    </row>
    <row r="29" spans="2:9" ht="15" customHeight="1" thickTop="1" thickBot="1" x14ac:dyDescent="0.3">
      <c r="B29" s="615"/>
      <c r="C29" s="615"/>
      <c r="E29" s="643"/>
      <c r="F29" s="644"/>
      <c r="H29" s="649"/>
      <c r="I29" s="650"/>
    </row>
    <row r="30" spans="2:9" ht="3" customHeight="1" thickTop="1" x14ac:dyDescent="0.25"/>
  </sheetData>
  <sheetProtection algorithmName="SHA-512" hashValue="KYcI5KSFPQgisC8ADu7X/7sz41NV081IIn5Fev3r4+ZHCm56PYmqfUOPIvvV5RJ4vFGIwnpywGLbxuMPJFRxpQ==" saltValue="yFX8Y2cgPV+j8kZL0ERTFQ==" spinCount="100000" sheet="1" objects="1" scenarios="1"/>
  <protectedRanges>
    <protectedRange algorithmName="SHA-512" hashValue="nPh0fnbxia8ANh1+8capXhrYpMxrLFAK7BaQNO970oywkI9jhSYRUvq1o3vuEdWWi/QyLR4h4rc67cFG+J3Y5w==" saltValue="t5W8I9S/jbjs0+Vov4kbnw==" spinCount="100000" sqref="E7:I29" name="Certficados"/>
  </protectedRanges>
  <mergeCells count="19">
    <mergeCell ref="H24:I29"/>
    <mergeCell ref="H20:I23"/>
    <mergeCell ref="H18:I19"/>
    <mergeCell ref="H7:I9"/>
    <mergeCell ref="E11:F12"/>
    <mergeCell ref="E13:F14"/>
    <mergeCell ref="E15:F17"/>
    <mergeCell ref="E18:F19"/>
    <mergeCell ref="H15:I17"/>
    <mergeCell ref="H13:I14"/>
    <mergeCell ref="H11:I12"/>
    <mergeCell ref="B2:C6"/>
    <mergeCell ref="B7:C8"/>
    <mergeCell ref="E7:F9"/>
    <mergeCell ref="B9:C9"/>
    <mergeCell ref="B11:B22"/>
    <mergeCell ref="E20:F23"/>
    <mergeCell ref="B23:C29"/>
    <mergeCell ref="E24:F29"/>
  </mergeCells>
  <hyperlinks>
    <hyperlink ref="B11:B22" location="Anual!A1" display="Calendario" xr:uid="{E6C926DE-D2DD-4E24-BBB4-F0777B7A9E77}"/>
    <hyperlink ref="C11" location="Enero!A1" display="Enero" xr:uid="{542B9B93-A75E-46EB-B273-4CF015848E3F}"/>
    <hyperlink ref="C12" location="Febrero!A1" display="Febrero" xr:uid="{EB4D038A-12A9-49D4-870C-538092EEEFA7}"/>
    <hyperlink ref="C13" location="Marzo!A1" display="Marzo" xr:uid="{4EC7238B-C3D1-45A8-9B76-110C7E030006}"/>
    <hyperlink ref="C14" location="Abril!A1" display="Abril" xr:uid="{49B123AE-1622-444B-BF94-75C3F344CC87}"/>
    <hyperlink ref="C15" location="Mayo!A1" display="Mayo" xr:uid="{C35C2728-9013-48C6-9A82-A39082D2DE48}"/>
    <hyperlink ref="C16" location="Junio!A1" display="Junio" xr:uid="{2BF5DB02-7655-4533-97EB-8BFCD3D2726D}"/>
    <hyperlink ref="C17" location="Julio!A1" display="Julio" xr:uid="{4FF027F9-165A-43B8-9210-241E71E64485}"/>
    <hyperlink ref="C18" location="Agosto!A1" display="Agosto" xr:uid="{47E29AE5-CDDB-4184-A8FF-7F20D10DE1BA}"/>
    <hyperlink ref="C19" location="Septiembre!A1" display="Septiembre" xr:uid="{9852F0FD-B01F-4548-9EA6-D14624E93D0A}"/>
    <hyperlink ref="C20" location="Octubre!A1" display="Octubre" xr:uid="{A247E4EF-9FD2-4CDA-86F0-94E6DF79C080}"/>
    <hyperlink ref="C21" location="Noviembre!A1" display="Noviembre" xr:uid="{3B644E21-DE96-4F9A-A4F6-F10CCEA5702D}"/>
    <hyperlink ref="C22" location="Diciembre!A1" display="Diciembre" xr:uid="{68DC9804-F03B-4D81-A0C2-F75622419DE8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12FBA-86B2-4B1C-B206-3AB28F34EDD9}">
  <dimension ref="A1:J34"/>
  <sheetViews>
    <sheetView showGridLines="0" showRowColHeaders="0" workbookViewId="0"/>
  </sheetViews>
  <sheetFormatPr baseColWidth="10" defaultColWidth="0" defaultRowHeight="1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0.7109375" customWidth="1"/>
    <col min="7" max="7" width="0.85546875" style="10" customWidth="1"/>
    <col min="8" max="8" width="13.7109375" customWidth="1"/>
    <col min="9" max="9" width="20.7109375" customWidth="1"/>
    <col min="10" max="10" width="0.85546875" style="10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188" t="s">
        <v>295</v>
      </c>
      <c r="F3" s="188"/>
      <c r="G3" s="188"/>
      <c r="H3" s="188"/>
      <c r="I3" s="188"/>
      <c r="J3" s="191"/>
    </row>
    <row r="4" spans="2:10" ht="15.75" x14ac:dyDescent="0.25">
      <c r="B4" s="546"/>
      <c r="C4" s="546"/>
      <c r="E4" s="663" t="s">
        <v>289</v>
      </c>
      <c r="F4" s="663"/>
      <c r="G4" s="663"/>
      <c r="H4" s="663"/>
      <c r="I4" s="663"/>
    </row>
    <row r="5" spans="2:10" ht="15.75" customHeight="1" x14ac:dyDescent="0.25">
      <c r="B5" s="546"/>
      <c r="C5" s="546"/>
      <c r="E5" s="664" t="s">
        <v>288</v>
      </c>
      <c r="F5" s="664"/>
      <c r="G5" s="664"/>
      <c r="H5" s="664"/>
      <c r="I5" s="664"/>
    </row>
    <row r="6" spans="2:10" ht="15" customHeight="1" x14ac:dyDescent="0.25">
      <c r="B6" s="546"/>
      <c r="C6" s="546"/>
      <c r="E6" s="147"/>
      <c r="F6" s="147"/>
      <c r="G6" s="147"/>
      <c r="H6" s="147"/>
      <c r="I6" s="147"/>
      <c r="J6" s="187"/>
    </row>
    <row r="7" spans="2:10" x14ac:dyDescent="0.25">
      <c r="B7" s="546"/>
      <c r="C7" s="546"/>
      <c r="E7" s="148"/>
    </row>
    <row r="8" spans="2:10" ht="15" customHeight="1" x14ac:dyDescent="0.25">
      <c r="B8" s="563" t="s">
        <v>47</v>
      </c>
      <c r="C8" s="563"/>
      <c r="E8" s="564" t="s">
        <v>290</v>
      </c>
      <c r="F8" s="565"/>
      <c r="G8" s="149"/>
      <c r="H8" s="564" t="s">
        <v>45</v>
      </c>
      <c r="I8" s="565"/>
      <c r="J8" s="149"/>
    </row>
    <row r="9" spans="2:10" x14ac:dyDescent="0.25">
      <c r="B9" s="563"/>
      <c r="C9" s="563"/>
      <c r="E9" s="566"/>
      <c r="F9" s="567"/>
      <c r="G9" s="149"/>
      <c r="H9" s="566"/>
      <c r="I9" s="567"/>
      <c r="J9" s="149"/>
    </row>
    <row r="10" spans="2:10" x14ac:dyDescent="0.25">
      <c r="B10" s="555" t="s">
        <v>67</v>
      </c>
      <c r="C10" s="556"/>
      <c r="E10" s="568"/>
      <c r="F10" s="569"/>
      <c r="G10" s="149"/>
      <c r="H10" s="568"/>
      <c r="I10" s="569"/>
      <c r="J10" s="149"/>
    </row>
    <row r="11" spans="2:10" x14ac:dyDescent="0.25">
      <c r="B11" s="173"/>
      <c r="C11" s="172" t="s">
        <v>51</v>
      </c>
    </row>
    <row r="12" spans="2:10" ht="15" customHeight="1" x14ac:dyDescent="0.25">
      <c r="B12" s="557" t="s">
        <v>52</v>
      </c>
      <c r="C12" s="159" t="s">
        <v>53</v>
      </c>
      <c r="E12" s="559" t="s">
        <v>104</v>
      </c>
      <c r="F12" s="549" t="s">
        <v>55</v>
      </c>
      <c r="G12" s="168"/>
      <c r="H12" s="572" t="s">
        <v>54</v>
      </c>
      <c r="I12" s="549" t="s">
        <v>55</v>
      </c>
      <c r="J12" s="149"/>
    </row>
    <row r="13" spans="2:10" x14ac:dyDescent="0.25">
      <c r="B13" s="558"/>
      <c r="C13" s="160" t="s">
        <v>56</v>
      </c>
      <c r="E13" s="560"/>
      <c r="F13" s="550"/>
      <c r="G13" s="168"/>
      <c r="H13" s="573"/>
      <c r="I13" s="550"/>
      <c r="J13" s="149"/>
    </row>
    <row r="14" spans="2:10" x14ac:dyDescent="0.25">
      <c r="B14" s="558"/>
      <c r="C14" s="160" t="s">
        <v>57</v>
      </c>
      <c r="E14" s="151" t="s">
        <v>74</v>
      </c>
      <c r="F14" s="215">
        <v>45062</v>
      </c>
      <c r="G14" s="169"/>
      <c r="H14" s="164">
        <v>1</v>
      </c>
      <c r="I14" s="215">
        <v>45048</v>
      </c>
    </row>
    <row r="15" spans="2:10" x14ac:dyDescent="0.25">
      <c r="B15" s="558"/>
      <c r="C15" s="160" t="s">
        <v>58</v>
      </c>
      <c r="E15" s="153" t="s">
        <v>75</v>
      </c>
      <c r="F15" s="214">
        <f>+F14+1</f>
        <v>45063</v>
      </c>
      <c r="G15" s="169"/>
      <c r="H15" s="165">
        <v>2</v>
      </c>
      <c r="I15" s="214">
        <f>+I14+1</f>
        <v>45049</v>
      </c>
    </row>
    <row r="16" spans="2:10" x14ac:dyDescent="0.25">
      <c r="B16" s="558"/>
      <c r="C16" s="160" t="s">
        <v>59</v>
      </c>
      <c r="E16" s="153" t="s">
        <v>76</v>
      </c>
      <c r="F16" s="214">
        <f t="shared" ref="F16:F33" si="0">+F15+1</f>
        <v>45064</v>
      </c>
      <c r="G16" s="169"/>
      <c r="H16" s="165">
        <v>3</v>
      </c>
      <c r="I16" s="214">
        <f t="shared" ref="I16:I22" si="1">+I15+1</f>
        <v>45050</v>
      </c>
    </row>
    <row r="17" spans="2:10" x14ac:dyDescent="0.25">
      <c r="B17" s="558"/>
      <c r="C17" s="160" t="s">
        <v>60</v>
      </c>
      <c r="E17" s="153" t="s">
        <v>77</v>
      </c>
      <c r="F17" s="214">
        <f t="shared" si="0"/>
        <v>45065</v>
      </c>
      <c r="G17" s="169"/>
      <c r="H17" s="165">
        <v>4</v>
      </c>
      <c r="I17" s="214">
        <f t="shared" si="1"/>
        <v>45051</v>
      </c>
    </row>
    <row r="18" spans="2:10" x14ac:dyDescent="0.25">
      <c r="B18" s="558"/>
      <c r="C18" s="160" t="s">
        <v>61</v>
      </c>
      <c r="E18" s="153" t="s">
        <v>78</v>
      </c>
      <c r="F18" s="214">
        <f>+F17+4</f>
        <v>45069</v>
      </c>
      <c r="G18" s="169"/>
      <c r="H18" s="165">
        <v>5</v>
      </c>
      <c r="I18" s="214">
        <f>+I17+3</f>
        <v>45054</v>
      </c>
    </row>
    <row r="19" spans="2:10" x14ac:dyDescent="0.25">
      <c r="B19" s="558"/>
      <c r="C19" s="160" t="s">
        <v>62</v>
      </c>
      <c r="E19" s="153" t="s">
        <v>79</v>
      </c>
      <c r="F19" s="214">
        <f t="shared" si="0"/>
        <v>45070</v>
      </c>
      <c r="G19" s="169"/>
      <c r="H19" s="165">
        <v>6</v>
      </c>
      <c r="I19" s="214">
        <f t="shared" si="1"/>
        <v>45055</v>
      </c>
    </row>
    <row r="20" spans="2:10" x14ac:dyDescent="0.25">
      <c r="B20" s="558"/>
      <c r="C20" s="160" t="s">
        <v>63</v>
      </c>
      <c r="E20" s="153" t="s">
        <v>80</v>
      </c>
      <c r="F20" s="214">
        <f t="shared" si="0"/>
        <v>45071</v>
      </c>
      <c r="G20" s="169"/>
      <c r="H20" s="165">
        <v>7</v>
      </c>
      <c r="I20" s="214">
        <f t="shared" si="1"/>
        <v>45056</v>
      </c>
    </row>
    <row r="21" spans="2:10" x14ac:dyDescent="0.25">
      <c r="B21" s="558"/>
      <c r="C21" s="160" t="s">
        <v>64</v>
      </c>
      <c r="E21" s="153" t="s">
        <v>81</v>
      </c>
      <c r="F21" s="214">
        <f t="shared" si="0"/>
        <v>45072</v>
      </c>
      <c r="G21" s="169"/>
      <c r="H21" s="165">
        <v>8</v>
      </c>
      <c r="I21" s="214">
        <f t="shared" si="1"/>
        <v>45057</v>
      </c>
    </row>
    <row r="22" spans="2:10" x14ac:dyDescent="0.25">
      <c r="B22" s="558"/>
      <c r="C22" s="160" t="s">
        <v>65</v>
      </c>
      <c r="E22" s="153" t="s">
        <v>82</v>
      </c>
      <c r="F22" s="214">
        <f>+F21+3</f>
        <v>45075</v>
      </c>
      <c r="G22" s="169"/>
      <c r="H22" s="165">
        <v>9</v>
      </c>
      <c r="I22" s="214">
        <f t="shared" si="1"/>
        <v>45058</v>
      </c>
    </row>
    <row r="23" spans="2:10" ht="15.75" thickBot="1" x14ac:dyDescent="0.3">
      <c r="B23" s="558"/>
      <c r="C23" s="160" t="s">
        <v>66</v>
      </c>
      <c r="E23" s="153" t="s">
        <v>83</v>
      </c>
      <c r="F23" s="214">
        <f>+F22+1</f>
        <v>45076</v>
      </c>
      <c r="G23" s="169"/>
      <c r="H23" s="170">
        <v>0</v>
      </c>
      <c r="I23" s="214">
        <f>+I22+3</f>
        <v>45061</v>
      </c>
    </row>
    <row r="24" spans="2:10" ht="15" customHeight="1" thickTop="1" thickBot="1" x14ac:dyDescent="0.3">
      <c r="B24" s="561"/>
      <c r="C24" s="561"/>
      <c r="E24" s="153" t="s">
        <v>84</v>
      </c>
      <c r="F24" s="214">
        <f t="shared" si="0"/>
        <v>45077</v>
      </c>
      <c r="G24" s="167"/>
      <c r="H24" s="657"/>
      <c r="I24" s="658"/>
      <c r="J24" s="167"/>
    </row>
    <row r="25" spans="2:10" ht="16.5" thickTop="1" thickBot="1" x14ac:dyDescent="0.3">
      <c r="B25" s="561"/>
      <c r="C25" s="561"/>
      <c r="E25" s="153" t="s">
        <v>85</v>
      </c>
      <c r="F25" s="214">
        <f t="shared" si="0"/>
        <v>45078</v>
      </c>
      <c r="H25" s="659"/>
      <c r="I25" s="660"/>
    </row>
    <row r="26" spans="2:10" ht="16.5" thickTop="1" thickBot="1" x14ac:dyDescent="0.3">
      <c r="B26" s="561"/>
      <c r="C26" s="561"/>
      <c r="E26" s="153" t="s">
        <v>86</v>
      </c>
      <c r="F26" s="214">
        <f t="shared" si="0"/>
        <v>45079</v>
      </c>
      <c r="G26" s="167"/>
      <c r="H26" s="659"/>
      <c r="I26" s="660"/>
      <c r="J26" s="167"/>
    </row>
    <row r="27" spans="2:10" ht="16.5" thickTop="1" thickBot="1" x14ac:dyDescent="0.3">
      <c r="B27" s="561"/>
      <c r="C27" s="561"/>
      <c r="E27" s="153" t="s">
        <v>87</v>
      </c>
      <c r="F27" s="214">
        <f>+F26+3</f>
        <v>45082</v>
      </c>
      <c r="H27" s="659"/>
      <c r="I27" s="660"/>
    </row>
    <row r="28" spans="2:10" ht="16.5" thickTop="1" thickBot="1" x14ac:dyDescent="0.3">
      <c r="B28" s="561"/>
      <c r="C28" s="561"/>
      <c r="E28" s="153" t="s">
        <v>88</v>
      </c>
      <c r="F28" s="214">
        <f>+F27+1</f>
        <v>45083</v>
      </c>
      <c r="G28" s="167"/>
      <c r="H28" s="659"/>
      <c r="I28" s="660"/>
      <c r="J28" s="167"/>
    </row>
    <row r="29" spans="2:10" ht="16.5" thickTop="1" thickBot="1" x14ac:dyDescent="0.3">
      <c r="B29" s="561"/>
      <c r="C29" s="561"/>
      <c r="E29" s="153" t="s">
        <v>89</v>
      </c>
      <c r="F29" s="214">
        <f t="shared" si="0"/>
        <v>45084</v>
      </c>
      <c r="H29" s="659"/>
      <c r="I29" s="660"/>
    </row>
    <row r="30" spans="2:10" ht="16.5" thickTop="1" thickBot="1" x14ac:dyDescent="0.3">
      <c r="B30" s="561"/>
      <c r="C30" s="561"/>
      <c r="E30" s="153" t="s">
        <v>90</v>
      </c>
      <c r="F30" s="214">
        <f t="shared" si="0"/>
        <v>45085</v>
      </c>
      <c r="H30" s="659"/>
      <c r="I30" s="660"/>
    </row>
    <row r="31" spans="2:10" ht="16.5" thickTop="1" thickBot="1" x14ac:dyDescent="0.3">
      <c r="B31" s="561"/>
      <c r="C31" s="561"/>
      <c r="E31" s="153" t="s">
        <v>91</v>
      </c>
      <c r="F31" s="214">
        <f t="shared" si="0"/>
        <v>45086</v>
      </c>
      <c r="H31" s="659"/>
      <c r="I31" s="660"/>
    </row>
    <row r="32" spans="2:10" ht="16.5" thickTop="1" thickBot="1" x14ac:dyDescent="0.3">
      <c r="B32" s="561"/>
      <c r="C32" s="561"/>
      <c r="E32" s="153" t="s">
        <v>92</v>
      </c>
      <c r="F32" s="214">
        <f>+F31+4</f>
        <v>45090</v>
      </c>
      <c r="H32" s="659"/>
      <c r="I32" s="660"/>
    </row>
    <row r="33" spans="2:9" ht="16.5" thickTop="1" thickBot="1" x14ac:dyDescent="0.3">
      <c r="B33" s="561"/>
      <c r="C33" s="561"/>
      <c r="E33" s="174" t="s">
        <v>93</v>
      </c>
      <c r="F33" s="216">
        <f t="shared" si="0"/>
        <v>45091</v>
      </c>
      <c r="H33" s="661"/>
      <c r="I33" s="662"/>
    </row>
    <row r="34" spans="2:9" ht="3" customHeight="1" thickTop="1" x14ac:dyDescent="0.25"/>
  </sheetData>
  <sheetProtection algorithmName="SHA-512" hashValue="lr+csUqDunTf5knrQf+Bv/2r21VTtR4CjJnx+twcGShShPgp/sywu6Jl5IJDM0jAipA58KV+TMjXw0hJ+VFfLQ==" saltValue="lrCfq0zwLMVrFWyOuyUtVQ==" spinCount="100000" sheet="1" objects="1" scenarios="1"/>
  <protectedRanges>
    <protectedRange algorithmName="SHA-512" hashValue="A4Ddoscov5wAEoCwrbtx/Bta+jQWB97ZDZupmMN/5nV+8/uqx84nWbrDBusPn8DEtOw20AN/1tzVvd09qrr8eg==" saltValue="BWFobTrtsz9DbdWOd0wSwA==" spinCount="100000" sqref="E8:J33" name="ExogenaDIAN"/>
  </protectedRanges>
  <mergeCells count="14">
    <mergeCell ref="H24:I33"/>
    <mergeCell ref="B2:C7"/>
    <mergeCell ref="B8:C9"/>
    <mergeCell ref="E8:F10"/>
    <mergeCell ref="H8:I10"/>
    <mergeCell ref="B10:C10"/>
    <mergeCell ref="E4:I4"/>
    <mergeCell ref="E5:I5"/>
    <mergeCell ref="B12:B23"/>
    <mergeCell ref="E12:E13"/>
    <mergeCell ref="F12:F13"/>
    <mergeCell ref="H12:H13"/>
    <mergeCell ref="I12:I13"/>
    <mergeCell ref="B24:C33"/>
  </mergeCells>
  <hyperlinks>
    <hyperlink ref="B12:B23" location="Anual!A1" display="Calendario" xr:uid="{7957EE8A-8167-4703-BE13-D0FE766AB041}"/>
    <hyperlink ref="C12" location="Enero!A1" display="Enero" xr:uid="{2F0E343F-7A13-4362-8230-AFB3695BA535}"/>
    <hyperlink ref="C13" location="Febrero!A1" display="Febrero" xr:uid="{93B7B6FF-1C90-4428-8A49-48F20E7B3E1B}"/>
    <hyperlink ref="C14" location="Marzo!A1" display="Marzo" xr:uid="{A24C8E08-9B0E-4837-9DD4-328DCDAEE8DA}"/>
    <hyperlink ref="C15" location="Abril!A1" display="Abril" xr:uid="{0BFFEC28-A5C4-4247-901D-45BC5AEA0863}"/>
    <hyperlink ref="C16" location="Mayo!A1" display="Mayo" xr:uid="{845793F2-7D47-4387-AA50-4A4B4011D2E2}"/>
    <hyperlink ref="C17" location="Junio!A1" display="Junio" xr:uid="{359E6275-7ADE-4F45-9C69-5CF152C734E7}"/>
    <hyperlink ref="C18" location="Julio!A1" display="Julio" xr:uid="{B3AAD508-7673-4110-BA7C-CAAF62C368AC}"/>
    <hyperlink ref="C19" location="Agosto!A1" display="Agosto" xr:uid="{E65CC645-0157-4987-968A-918787E0C235}"/>
    <hyperlink ref="C20" location="Septiembre!A1" display="Septiembre" xr:uid="{D9A841D8-6657-4FF0-9A12-CD91AAD90349}"/>
    <hyperlink ref="C21" location="Octubre!A1" display="Octubre" xr:uid="{AC286FEA-0DB1-47CC-A066-C2E35EBA8743}"/>
    <hyperlink ref="C22" location="Noviembre!A1" display="Noviembre" xr:uid="{CC7FD5C5-6292-4856-880D-26F27E0FDDF4}"/>
    <hyperlink ref="C23" location="Diciembre!A1" display="Diciembre" xr:uid="{57F9AAC8-4878-4F86-8662-AC681D3F6992}"/>
    <hyperlink ref="E5:I5" r:id="rId1" location=":~:text=Por%20la%20cual%20se%20establece,los%20plazos%20para%20la%20entrega." display="Resolución 00124 del 28 de octubre de 2021" xr:uid="{33C067E7-62C5-4DC8-B5D0-1CBA1D1BD300}"/>
  </hyperlinks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DAAA4-DC42-47F1-ACBB-FF2AB9012394}">
  <dimension ref="A1:Z127"/>
  <sheetViews>
    <sheetView showGridLines="0" showRowColHeaders="0" workbookViewId="0">
      <pane ySplit="7" topLeftCell="A8" activePane="bottomLeft" state="frozen"/>
      <selection pane="bottomLeft" activeCell="P5" sqref="P5"/>
    </sheetView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4.28515625" customWidth="1"/>
    <col min="6" max="7" width="11.42578125" customWidth="1"/>
    <col min="8" max="8" width="16.7109375" customWidth="1"/>
    <col min="9" max="18" width="5.7109375" customWidth="1"/>
    <col min="19" max="19" width="0.85546875" customWidth="1"/>
    <col min="20" max="20" width="11.42578125" hidden="1" customWidth="1"/>
    <col min="21" max="26" width="0" hidden="1" customWidth="1"/>
    <col min="27" max="16384" width="11.42578125" hidden="1"/>
  </cols>
  <sheetData>
    <row r="1" spans="2:18" x14ac:dyDescent="0.25">
      <c r="B1" s="546"/>
      <c r="C1" s="546"/>
    </row>
    <row r="2" spans="2:18" x14ac:dyDescent="0.25">
      <c r="B2" s="546"/>
      <c r="C2" s="546"/>
    </row>
    <row r="3" spans="2:18" x14ac:dyDescent="0.25">
      <c r="B3" s="546"/>
      <c r="C3" s="546"/>
    </row>
    <row r="4" spans="2:18" ht="15" customHeight="1" x14ac:dyDescent="0.25">
      <c r="B4" s="546"/>
      <c r="C4" s="546"/>
    </row>
    <row r="5" spans="2:18" ht="15" customHeight="1" x14ac:dyDescent="0.25">
      <c r="B5" s="546"/>
      <c r="C5" s="546"/>
      <c r="E5" s="148"/>
      <c r="G5" s="10"/>
    </row>
    <row r="6" spans="2:18" ht="15" customHeight="1" x14ac:dyDescent="0.25">
      <c r="B6" s="563" t="s">
        <v>47</v>
      </c>
      <c r="C6" s="563"/>
      <c r="E6" s="148"/>
      <c r="G6" s="10"/>
    </row>
    <row r="7" spans="2:18" ht="15" customHeight="1" x14ac:dyDescent="0.25">
      <c r="B7" s="563"/>
      <c r="C7" s="563"/>
      <c r="E7" s="148"/>
      <c r="G7" s="10"/>
    </row>
    <row r="8" spans="2:18" ht="15.75" x14ac:dyDescent="0.25">
      <c r="B8" s="555" t="s">
        <v>67</v>
      </c>
      <c r="C8" s="556"/>
      <c r="E8" s="562" t="s">
        <v>697</v>
      </c>
      <c r="F8" s="562"/>
      <c r="G8" s="562"/>
      <c r="H8" s="562"/>
      <c r="I8" s="562"/>
      <c r="J8" s="562"/>
      <c r="K8" s="562"/>
      <c r="L8" s="562"/>
      <c r="M8" s="562"/>
      <c r="N8" s="562"/>
      <c r="O8" s="562"/>
      <c r="P8" s="562"/>
      <c r="Q8" s="562"/>
      <c r="R8" s="562"/>
    </row>
    <row r="9" spans="2:18" ht="15.75" x14ac:dyDescent="0.25">
      <c r="B9" s="173"/>
      <c r="C9" s="172" t="s">
        <v>51</v>
      </c>
      <c r="E9" s="663" t="s">
        <v>437</v>
      </c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</row>
    <row r="10" spans="2:18" ht="15" customHeight="1" x14ac:dyDescent="0.25">
      <c r="B10" s="557" t="s">
        <v>52</v>
      </c>
      <c r="C10" s="159" t="s">
        <v>53</v>
      </c>
      <c r="E10" s="680" t="s">
        <v>436</v>
      </c>
      <c r="F10" s="680"/>
      <c r="G10" s="680"/>
      <c r="H10" s="680"/>
      <c r="I10" s="680"/>
    </row>
    <row r="11" spans="2:18" ht="15.75" x14ac:dyDescent="0.25">
      <c r="B11" s="558"/>
      <c r="C11" s="160" t="s">
        <v>56</v>
      </c>
      <c r="E11" s="681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</row>
    <row r="12" spans="2:18" ht="15" customHeight="1" x14ac:dyDescent="0.25">
      <c r="B12" s="558"/>
      <c r="C12" s="160" t="s">
        <v>57</v>
      </c>
      <c r="E12" s="687"/>
      <c r="F12" s="687"/>
      <c r="G12" s="687"/>
      <c r="H12" s="687"/>
      <c r="I12" s="687"/>
      <c r="J12" s="687"/>
      <c r="K12" s="687"/>
      <c r="L12" s="687"/>
      <c r="M12" s="687"/>
      <c r="N12" s="687"/>
      <c r="O12" s="687"/>
      <c r="P12" s="687"/>
      <c r="Q12" s="687"/>
      <c r="R12" s="687"/>
    </row>
    <row r="13" spans="2:18" ht="15" customHeight="1" x14ac:dyDescent="0.25">
      <c r="B13" s="558"/>
      <c r="C13" s="160" t="s">
        <v>58</v>
      </c>
      <c r="E13" s="687"/>
      <c r="F13" s="687"/>
      <c r="G13" s="687"/>
      <c r="H13" s="687"/>
      <c r="I13" s="687"/>
      <c r="J13" s="687"/>
      <c r="K13" s="687"/>
      <c r="L13" s="687"/>
      <c r="M13" s="687"/>
      <c r="N13" s="687"/>
      <c r="O13" s="687"/>
      <c r="P13" s="687"/>
      <c r="Q13" s="687"/>
      <c r="R13" s="687"/>
    </row>
    <row r="14" spans="2:18" ht="15" customHeight="1" x14ac:dyDescent="0.25">
      <c r="B14" s="558"/>
      <c r="C14" s="160" t="s">
        <v>59</v>
      </c>
      <c r="E14" s="687"/>
      <c r="F14" s="687"/>
      <c r="G14" s="687"/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</row>
    <row r="15" spans="2:18" ht="15" customHeight="1" x14ac:dyDescent="0.25">
      <c r="B15" s="558"/>
      <c r="C15" s="160" t="s">
        <v>60</v>
      </c>
      <c r="E15" s="687"/>
      <c r="F15" s="687"/>
      <c r="G15" s="687"/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</row>
    <row r="16" spans="2:18" ht="15" customHeight="1" x14ac:dyDescent="0.25">
      <c r="B16" s="558"/>
      <c r="C16" s="160" t="s">
        <v>61</v>
      </c>
      <c r="E16" s="687"/>
      <c r="F16" s="687"/>
      <c r="G16" s="687"/>
      <c r="H16" s="687"/>
      <c r="I16" s="687"/>
      <c r="J16" s="687"/>
      <c r="K16" s="687"/>
      <c r="L16" s="687"/>
      <c r="M16" s="687"/>
      <c r="N16" s="687"/>
      <c r="O16" s="687"/>
      <c r="P16" s="687"/>
      <c r="Q16" s="687"/>
      <c r="R16" s="687"/>
    </row>
    <row r="17" spans="2:20" ht="15" customHeight="1" x14ac:dyDescent="0.25">
      <c r="B17" s="558"/>
      <c r="C17" s="160" t="s">
        <v>62</v>
      </c>
      <c r="E17" s="687"/>
      <c r="F17" s="687"/>
      <c r="G17" s="687"/>
      <c r="H17" s="687"/>
      <c r="I17" s="687"/>
      <c r="J17" s="687"/>
      <c r="K17" s="687"/>
      <c r="L17" s="687"/>
      <c r="M17" s="687"/>
      <c r="N17" s="687"/>
      <c r="O17" s="687"/>
      <c r="P17" s="687"/>
      <c r="Q17" s="687"/>
      <c r="R17" s="687"/>
    </row>
    <row r="18" spans="2:20" ht="15" customHeight="1" x14ac:dyDescent="0.25">
      <c r="B18" s="558"/>
      <c r="C18" s="160" t="s">
        <v>63</v>
      </c>
      <c r="E18" s="687"/>
      <c r="F18" s="687"/>
      <c r="G18" s="687"/>
      <c r="H18" s="687"/>
      <c r="I18" s="687"/>
      <c r="J18" s="687"/>
      <c r="K18" s="687"/>
      <c r="L18" s="687"/>
      <c r="M18" s="687"/>
      <c r="N18" s="687"/>
      <c r="O18" s="687"/>
      <c r="P18" s="687"/>
      <c r="Q18" s="687"/>
      <c r="R18" s="687"/>
    </row>
    <row r="19" spans="2:20" ht="15" customHeight="1" x14ac:dyDescent="0.25">
      <c r="B19" s="558"/>
      <c r="C19" s="160" t="s">
        <v>64</v>
      </c>
      <c r="E19" s="687"/>
      <c r="F19" s="687"/>
      <c r="G19" s="687"/>
      <c r="H19" s="687"/>
      <c r="I19" s="687"/>
      <c r="J19" s="687"/>
      <c r="K19" s="687"/>
      <c r="L19" s="687"/>
      <c r="M19" s="687"/>
      <c r="N19" s="687"/>
      <c r="O19" s="687"/>
      <c r="P19" s="687"/>
      <c r="Q19" s="687"/>
      <c r="R19" s="687"/>
    </row>
    <row r="20" spans="2:20" ht="15" customHeight="1" x14ac:dyDescent="0.25">
      <c r="B20" s="558"/>
      <c r="C20" s="160" t="s">
        <v>65</v>
      </c>
      <c r="E20" s="687"/>
      <c r="F20" s="687"/>
      <c r="G20" s="687"/>
      <c r="H20" s="687"/>
      <c r="I20" s="687"/>
      <c r="J20" s="687"/>
      <c r="K20" s="687"/>
      <c r="L20" s="687"/>
      <c r="M20" s="687"/>
      <c r="N20" s="687"/>
      <c r="O20" s="687"/>
      <c r="P20" s="687"/>
      <c r="Q20" s="687"/>
      <c r="R20" s="687"/>
    </row>
    <row r="21" spans="2:20" ht="15" customHeight="1" thickBot="1" x14ac:dyDescent="0.3">
      <c r="B21" s="558"/>
      <c r="C21" s="160" t="s">
        <v>66</v>
      </c>
      <c r="E21" s="687"/>
      <c r="F21" s="687"/>
      <c r="G21" s="687"/>
      <c r="H21" s="687"/>
      <c r="I21" s="687"/>
      <c r="J21" s="687"/>
      <c r="K21" s="687"/>
      <c r="L21" s="687"/>
      <c r="M21" s="687"/>
      <c r="N21" s="687"/>
      <c r="O21" s="687"/>
      <c r="P21" s="687"/>
      <c r="Q21" s="687"/>
      <c r="R21" s="687"/>
    </row>
    <row r="22" spans="2:20" s="295" customFormat="1" ht="20.100000000000001" customHeight="1" thickTop="1" thickBot="1" x14ac:dyDescent="0.4">
      <c r="B22" s="665"/>
      <c r="C22" s="665"/>
      <c r="E22" s="291" t="s">
        <v>438</v>
      </c>
      <c r="F22" s="292"/>
      <c r="G22" s="292"/>
      <c r="H22" s="292"/>
      <c r="I22" s="292"/>
      <c r="J22" s="292"/>
      <c r="K22" s="292"/>
      <c r="L22" s="292"/>
      <c r="M22" s="292"/>
      <c r="N22" s="292"/>
      <c r="O22" s="293"/>
      <c r="P22" s="293"/>
      <c r="Q22" s="293"/>
      <c r="R22" s="293"/>
      <c r="S22" s="294"/>
      <c r="T22" s="290"/>
    </row>
    <row r="23" spans="2:20" ht="46.5" customHeight="1" thickTop="1" thickBot="1" x14ac:dyDescent="0.3">
      <c r="B23" s="665"/>
      <c r="C23" s="665"/>
      <c r="E23" s="666" t="s">
        <v>395</v>
      </c>
      <c r="F23" s="667"/>
      <c r="G23" s="667"/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289"/>
      <c r="T23" s="286"/>
    </row>
    <row r="24" spans="2:20" ht="30" customHeight="1" thickTop="1" thickBot="1" x14ac:dyDescent="0.3">
      <c r="B24" s="665"/>
      <c r="C24" s="665"/>
      <c r="E24" s="668" t="s">
        <v>396</v>
      </c>
      <c r="F24" s="669"/>
      <c r="G24" s="670"/>
      <c r="H24" s="296" t="s">
        <v>397</v>
      </c>
      <c r="I24" s="671" t="s">
        <v>398</v>
      </c>
      <c r="J24" s="671"/>
      <c r="K24" s="671" t="s">
        <v>399</v>
      </c>
      <c r="L24" s="671">
        <v>4</v>
      </c>
      <c r="M24" s="671" t="s">
        <v>400</v>
      </c>
      <c r="N24" s="671">
        <v>6</v>
      </c>
      <c r="O24" s="671" t="s">
        <v>401</v>
      </c>
      <c r="P24" s="671">
        <v>8</v>
      </c>
      <c r="Q24" s="671" t="s">
        <v>402</v>
      </c>
      <c r="R24" s="671">
        <v>0</v>
      </c>
      <c r="S24" s="289"/>
      <c r="T24" s="286"/>
    </row>
    <row r="25" spans="2:20" ht="24.95" customHeight="1" thickTop="1" thickBot="1" x14ac:dyDescent="0.3">
      <c r="B25" s="665"/>
      <c r="C25" s="665"/>
      <c r="E25" s="677" t="s">
        <v>439</v>
      </c>
      <c r="F25" s="677"/>
      <c r="G25" s="678"/>
      <c r="H25" s="297" t="s">
        <v>403</v>
      </c>
      <c r="I25" s="672">
        <v>45027</v>
      </c>
      <c r="J25" s="672"/>
      <c r="K25" s="672">
        <v>45028</v>
      </c>
      <c r="L25" s="672"/>
      <c r="M25" s="672">
        <v>45029</v>
      </c>
      <c r="N25" s="672"/>
      <c r="O25" s="672">
        <v>45030</v>
      </c>
      <c r="P25" s="672"/>
      <c r="Q25" s="672">
        <v>45033</v>
      </c>
      <c r="R25" s="672"/>
      <c r="S25" s="289"/>
      <c r="T25" s="286"/>
    </row>
    <row r="26" spans="2:20" ht="30" customHeight="1" thickTop="1" thickBot="1" x14ac:dyDescent="0.3">
      <c r="B26" s="665"/>
      <c r="C26" s="665"/>
      <c r="E26" s="682"/>
      <c r="F26" s="682"/>
      <c r="G26" s="683"/>
      <c r="H26" s="299" t="s">
        <v>397</v>
      </c>
      <c r="I26" s="673" t="s">
        <v>404</v>
      </c>
      <c r="J26" s="673"/>
      <c r="K26" s="673" t="s">
        <v>405</v>
      </c>
      <c r="L26" s="673">
        <v>4</v>
      </c>
      <c r="M26" s="673" t="s">
        <v>406</v>
      </c>
      <c r="N26" s="673">
        <v>6</v>
      </c>
      <c r="O26" s="673" t="s">
        <v>407</v>
      </c>
      <c r="P26" s="673">
        <v>8</v>
      </c>
      <c r="Q26" s="673" t="s">
        <v>408</v>
      </c>
      <c r="R26" s="673">
        <v>0</v>
      </c>
      <c r="S26" s="289"/>
      <c r="T26" s="286"/>
    </row>
    <row r="27" spans="2:20" ht="24.95" customHeight="1" thickTop="1" thickBot="1" x14ac:dyDescent="0.3">
      <c r="B27" s="665"/>
      <c r="C27" s="665"/>
      <c r="E27" s="682"/>
      <c r="F27" s="682"/>
      <c r="G27" s="683"/>
      <c r="H27" s="297" t="s">
        <v>403</v>
      </c>
      <c r="I27" s="672">
        <v>45034</v>
      </c>
      <c r="J27" s="672"/>
      <c r="K27" s="672">
        <v>45035</v>
      </c>
      <c r="L27" s="672"/>
      <c r="M27" s="672">
        <v>45036</v>
      </c>
      <c r="N27" s="672"/>
      <c r="O27" s="672">
        <v>45037</v>
      </c>
      <c r="P27" s="672"/>
      <c r="Q27" s="672">
        <v>45040</v>
      </c>
      <c r="R27" s="672"/>
      <c r="S27" s="289"/>
      <c r="T27" s="286"/>
    </row>
    <row r="28" spans="2:20" ht="30" customHeight="1" thickTop="1" thickBot="1" x14ac:dyDescent="0.3">
      <c r="B28" s="665"/>
      <c r="C28" s="665"/>
      <c r="E28" s="682"/>
      <c r="F28" s="682"/>
      <c r="G28" s="683"/>
      <c r="H28" s="299" t="s">
        <v>397</v>
      </c>
      <c r="I28" s="673" t="s">
        <v>409</v>
      </c>
      <c r="J28" s="673"/>
      <c r="K28" s="673" t="s">
        <v>410</v>
      </c>
      <c r="L28" s="673">
        <v>4</v>
      </c>
      <c r="M28" s="673" t="s">
        <v>411</v>
      </c>
      <c r="N28" s="673">
        <v>6</v>
      </c>
      <c r="O28" s="673" t="s">
        <v>412</v>
      </c>
      <c r="P28" s="673">
        <v>8</v>
      </c>
      <c r="Q28" s="673" t="s">
        <v>413</v>
      </c>
      <c r="R28" s="673">
        <v>0</v>
      </c>
      <c r="S28" s="289"/>
      <c r="T28" s="286"/>
    </row>
    <row r="29" spans="2:20" ht="24.95" customHeight="1" thickTop="1" thickBot="1" x14ac:dyDescent="0.3">
      <c r="B29" s="665"/>
      <c r="C29" s="665"/>
      <c r="E29" s="682"/>
      <c r="F29" s="682"/>
      <c r="G29" s="683"/>
      <c r="H29" s="297" t="s">
        <v>403</v>
      </c>
      <c r="I29" s="672">
        <v>45041</v>
      </c>
      <c r="J29" s="672"/>
      <c r="K29" s="672">
        <v>45042</v>
      </c>
      <c r="L29" s="672"/>
      <c r="M29" s="672">
        <v>45043</v>
      </c>
      <c r="N29" s="672"/>
      <c r="O29" s="672">
        <v>45044</v>
      </c>
      <c r="P29" s="672"/>
      <c r="Q29" s="672">
        <v>45048</v>
      </c>
      <c r="R29" s="672"/>
      <c r="S29" s="289"/>
      <c r="T29" s="286"/>
    </row>
    <row r="30" spans="2:20" ht="30" customHeight="1" thickTop="1" thickBot="1" x14ac:dyDescent="0.3">
      <c r="B30" s="665"/>
      <c r="C30" s="665"/>
      <c r="E30" s="682"/>
      <c r="F30" s="682"/>
      <c r="G30" s="683"/>
      <c r="H30" s="299" t="s">
        <v>397</v>
      </c>
      <c r="I30" s="673" t="s">
        <v>414</v>
      </c>
      <c r="J30" s="673"/>
      <c r="K30" s="673" t="s">
        <v>415</v>
      </c>
      <c r="L30" s="673">
        <v>4</v>
      </c>
      <c r="M30" s="673" t="s">
        <v>416</v>
      </c>
      <c r="N30" s="673">
        <v>6</v>
      </c>
      <c r="O30" s="673" t="s">
        <v>417</v>
      </c>
      <c r="P30" s="673">
        <v>8</v>
      </c>
      <c r="Q30" s="673" t="s">
        <v>418</v>
      </c>
      <c r="R30" s="673">
        <v>0</v>
      </c>
      <c r="S30" s="289"/>
      <c r="T30" s="286"/>
    </row>
    <row r="31" spans="2:20" ht="24.95" customHeight="1" thickTop="1" thickBot="1" x14ac:dyDescent="0.3">
      <c r="B31" s="665"/>
      <c r="C31" s="665"/>
      <c r="E31" s="684"/>
      <c r="F31" s="684"/>
      <c r="G31" s="685"/>
      <c r="H31" s="297" t="s">
        <v>403</v>
      </c>
      <c r="I31" s="672">
        <v>45049</v>
      </c>
      <c r="J31" s="672"/>
      <c r="K31" s="672">
        <v>45050</v>
      </c>
      <c r="L31" s="672"/>
      <c r="M31" s="672">
        <v>45051</v>
      </c>
      <c r="N31" s="672"/>
      <c r="O31" s="672">
        <v>45054</v>
      </c>
      <c r="P31" s="672"/>
      <c r="Q31" s="672">
        <v>45055</v>
      </c>
      <c r="R31" s="672"/>
      <c r="S31" s="289"/>
      <c r="T31" s="286"/>
    </row>
    <row r="32" spans="2:20" s="10" customFormat="1" ht="3" customHeight="1" thickTop="1" thickBot="1" x14ac:dyDescent="0.3">
      <c r="B32" s="665"/>
      <c r="C32" s="665"/>
      <c r="E32" s="301"/>
      <c r="F32" s="301"/>
      <c r="G32" s="301"/>
      <c r="H32" s="302"/>
      <c r="I32" s="303"/>
      <c r="J32" s="303"/>
      <c r="K32" s="301"/>
      <c r="L32" s="301"/>
      <c r="M32" s="301"/>
      <c r="N32" s="301"/>
      <c r="O32" s="301"/>
      <c r="P32" s="301"/>
      <c r="Q32" s="301"/>
      <c r="R32" s="301"/>
      <c r="S32" s="304"/>
      <c r="T32" s="300"/>
    </row>
    <row r="33" spans="2:26" ht="3" customHeight="1" thickTop="1" thickBot="1" x14ac:dyDescent="0.4">
      <c r="B33" s="665"/>
      <c r="C33" s="665"/>
      <c r="E33" s="305"/>
      <c r="F33" s="305"/>
      <c r="G33" s="295"/>
      <c r="S33" s="289"/>
      <c r="T33" s="286"/>
    </row>
    <row r="34" spans="2:26" ht="20.100000000000001" customHeight="1" thickTop="1" thickBot="1" x14ac:dyDescent="0.4">
      <c r="B34" s="665"/>
      <c r="C34" s="665"/>
      <c r="E34" s="291" t="s">
        <v>440</v>
      </c>
      <c r="F34" s="292"/>
      <c r="G34" s="292"/>
      <c r="H34" s="306"/>
      <c r="I34" s="306"/>
      <c r="J34" s="306"/>
      <c r="K34" s="306"/>
      <c r="L34" s="306"/>
      <c r="M34" s="306"/>
      <c r="N34" s="306"/>
      <c r="O34" s="307"/>
      <c r="P34" s="307"/>
      <c r="Q34" s="307"/>
      <c r="R34" s="307"/>
      <c r="S34" s="289"/>
      <c r="T34" s="286"/>
      <c r="V34" s="308"/>
      <c r="Z34" s="309"/>
    </row>
    <row r="35" spans="2:26" s="312" customFormat="1" ht="18.75" customHeight="1" thickTop="1" thickBot="1" x14ac:dyDescent="0.3">
      <c r="B35" s="665"/>
      <c r="C35" s="665"/>
      <c r="E35" s="674" t="s">
        <v>419</v>
      </c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311"/>
      <c r="T35" s="310"/>
      <c r="V35" s="313"/>
    </row>
    <row r="36" spans="2:26" ht="6.75" customHeight="1" thickTop="1" thickBot="1" x14ac:dyDescent="0.3">
      <c r="B36" s="665"/>
      <c r="C36" s="665"/>
      <c r="E36" s="676"/>
      <c r="F36" s="676"/>
      <c r="G36" s="676"/>
      <c r="H36" s="676"/>
      <c r="I36" s="676"/>
      <c r="J36" s="676"/>
      <c r="K36" s="676"/>
      <c r="L36" s="676"/>
      <c r="M36" s="676"/>
      <c r="N36" s="676"/>
      <c r="O36" s="676"/>
      <c r="P36" s="676"/>
      <c r="Q36" s="676"/>
      <c r="R36" s="676"/>
      <c r="S36" s="289"/>
      <c r="T36" s="286"/>
    </row>
    <row r="37" spans="2:26" ht="30" customHeight="1" thickTop="1" thickBot="1" x14ac:dyDescent="0.3">
      <c r="B37" s="665"/>
      <c r="C37" s="665"/>
      <c r="E37" s="669" t="s">
        <v>420</v>
      </c>
      <c r="F37" s="669"/>
      <c r="G37" s="670"/>
      <c r="H37" s="299" t="s">
        <v>421</v>
      </c>
      <c r="I37" s="314" t="s">
        <v>422</v>
      </c>
      <c r="J37" s="314"/>
      <c r="K37" s="314"/>
      <c r="L37" s="314"/>
      <c r="M37" s="314"/>
      <c r="N37" s="314"/>
      <c r="O37" s="314"/>
      <c r="P37" s="314"/>
      <c r="Q37" s="314"/>
      <c r="R37" s="314"/>
      <c r="S37" s="289"/>
      <c r="T37" s="286"/>
    </row>
    <row r="38" spans="2:26" ht="24.95" customHeight="1" thickTop="1" thickBot="1" x14ac:dyDescent="0.3">
      <c r="B38" s="665"/>
      <c r="C38" s="665"/>
      <c r="E38" s="677" t="s">
        <v>218</v>
      </c>
      <c r="F38" s="677"/>
      <c r="G38" s="678"/>
      <c r="H38" s="297" t="s">
        <v>403</v>
      </c>
      <c r="I38" s="297" t="s">
        <v>423</v>
      </c>
      <c r="J38" s="297"/>
      <c r="K38" s="297"/>
      <c r="L38" s="297"/>
      <c r="M38" s="297"/>
      <c r="N38" s="297"/>
      <c r="O38" s="679"/>
      <c r="P38" s="679"/>
      <c r="Q38" s="679"/>
      <c r="R38" s="679"/>
      <c r="S38" s="289"/>
      <c r="T38" s="286"/>
    </row>
    <row r="39" spans="2:26" s="10" customFormat="1" ht="3" customHeight="1" thickTop="1" thickBot="1" x14ac:dyDescent="0.3">
      <c r="B39" s="665"/>
      <c r="C39" s="665"/>
      <c r="E39" s="301"/>
      <c r="F39" s="301"/>
      <c r="G39" s="301"/>
      <c r="H39" s="302"/>
      <c r="I39" s="303"/>
      <c r="J39" s="303"/>
      <c r="K39" s="301"/>
      <c r="L39" s="301"/>
      <c r="M39" s="301"/>
      <c r="N39" s="301"/>
      <c r="O39" s="301"/>
      <c r="P39" s="301"/>
      <c r="Q39" s="301"/>
      <c r="R39" s="301"/>
      <c r="S39" s="304"/>
      <c r="T39" s="300"/>
    </row>
    <row r="40" spans="2:26" ht="3" customHeight="1" thickTop="1" thickBot="1" x14ac:dyDescent="0.4">
      <c r="B40" s="665"/>
      <c r="C40" s="665"/>
      <c r="E40" s="305"/>
      <c r="F40" s="305"/>
      <c r="G40" s="295"/>
      <c r="S40" s="289"/>
      <c r="T40" s="286"/>
    </row>
    <row r="41" spans="2:26" s="319" customFormat="1" ht="20.100000000000001" customHeight="1" thickTop="1" thickBot="1" x14ac:dyDescent="0.35">
      <c r="B41" s="665"/>
      <c r="C41" s="665"/>
      <c r="E41" s="291" t="s">
        <v>424</v>
      </c>
      <c r="F41" s="316"/>
      <c r="G41" s="316"/>
      <c r="H41" s="316"/>
      <c r="I41" s="316"/>
      <c r="J41" s="316"/>
      <c r="K41" s="316"/>
      <c r="L41" s="316"/>
      <c r="M41" s="316"/>
      <c r="N41" s="316"/>
      <c r="O41" s="317"/>
      <c r="P41" s="317"/>
      <c r="Q41" s="317"/>
      <c r="R41" s="317"/>
      <c r="S41" s="318"/>
      <c r="T41" s="315"/>
    </row>
    <row r="42" spans="2:26" s="201" customFormat="1" ht="26.25" customHeight="1" thickTop="1" thickBot="1" x14ac:dyDescent="0.3">
      <c r="B42" s="665"/>
      <c r="C42" s="665"/>
      <c r="E42" s="320" t="s">
        <v>425</v>
      </c>
      <c r="F42" s="321"/>
      <c r="G42" s="321"/>
      <c r="H42" s="321"/>
      <c r="I42" s="321"/>
      <c r="J42" s="321"/>
      <c r="K42" s="321"/>
      <c r="L42" s="321"/>
      <c r="M42" s="322"/>
      <c r="N42" s="322"/>
      <c r="O42" s="322"/>
      <c r="P42" s="322"/>
      <c r="Q42" s="322"/>
      <c r="R42" s="322"/>
      <c r="S42" s="323"/>
      <c r="T42" s="324"/>
      <c r="U42" s="324"/>
    </row>
    <row r="43" spans="2:26" ht="30" customHeight="1" thickTop="1" thickBot="1" x14ac:dyDescent="0.3">
      <c r="B43" s="665"/>
      <c r="C43" s="665"/>
      <c r="E43" s="669" t="s">
        <v>396</v>
      </c>
      <c r="F43" s="669"/>
      <c r="G43" s="686"/>
      <c r="H43" s="299" t="s">
        <v>421</v>
      </c>
      <c r="I43" s="673" t="s">
        <v>426</v>
      </c>
      <c r="J43" s="673"/>
      <c r="K43" s="673" t="s">
        <v>427</v>
      </c>
      <c r="L43" s="673">
        <v>4</v>
      </c>
      <c r="M43" s="673" t="s">
        <v>428</v>
      </c>
      <c r="N43" s="673">
        <v>6</v>
      </c>
      <c r="O43" s="673" t="s">
        <v>429</v>
      </c>
      <c r="P43" s="673">
        <v>8</v>
      </c>
      <c r="Q43" s="673" t="s">
        <v>430</v>
      </c>
      <c r="R43" s="673">
        <v>0</v>
      </c>
      <c r="S43" s="289"/>
      <c r="T43" s="286"/>
    </row>
    <row r="44" spans="2:26" ht="24.95" customHeight="1" thickTop="1" thickBot="1" x14ac:dyDescent="0.3">
      <c r="B44" s="665"/>
      <c r="C44" s="665"/>
      <c r="E44" s="677" t="s">
        <v>441</v>
      </c>
      <c r="F44" s="677"/>
      <c r="G44" s="678"/>
      <c r="H44" s="297" t="s">
        <v>403</v>
      </c>
      <c r="I44" s="672">
        <v>45062</v>
      </c>
      <c r="J44" s="672"/>
      <c r="K44" s="672">
        <v>45063</v>
      </c>
      <c r="L44" s="672"/>
      <c r="M44" s="672">
        <v>45064</v>
      </c>
      <c r="N44" s="672"/>
      <c r="O44" s="672">
        <v>45065</v>
      </c>
      <c r="P44" s="672"/>
      <c r="Q44" s="672">
        <v>45069</v>
      </c>
      <c r="R44" s="672"/>
      <c r="S44" s="289"/>
      <c r="T44" s="286"/>
    </row>
    <row r="45" spans="2:26" ht="30" customHeight="1" thickTop="1" thickBot="1" x14ac:dyDescent="0.3">
      <c r="B45" s="665"/>
      <c r="C45" s="665"/>
      <c r="E45" s="682"/>
      <c r="F45" s="682"/>
      <c r="G45" s="683"/>
      <c r="H45" s="299" t="s">
        <v>421</v>
      </c>
      <c r="I45" s="673" t="s">
        <v>431</v>
      </c>
      <c r="J45" s="673"/>
      <c r="K45" s="673" t="s">
        <v>432</v>
      </c>
      <c r="L45" s="673">
        <v>4</v>
      </c>
      <c r="M45" s="673" t="s">
        <v>433</v>
      </c>
      <c r="N45" s="673">
        <v>6</v>
      </c>
      <c r="O45" s="673" t="s">
        <v>434</v>
      </c>
      <c r="P45" s="673">
        <v>8</v>
      </c>
      <c r="Q45" s="673" t="s">
        <v>435</v>
      </c>
      <c r="R45" s="673">
        <v>0</v>
      </c>
      <c r="S45" s="289"/>
      <c r="T45" s="286"/>
    </row>
    <row r="46" spans="2:26" ht="24.95" customHeight="1" thickTop="1" thickBot="1" x14ac:dyDescent="0.3">
      <c r="B46" s="665"/>
      <c r="C46" s="665"/>
      <c r="E46" s="684"/>
      <c r="F46" s="684"/>
      <c r="G46" s="685"/>
      <c r="H46" s="297" t="s">
        <v>403</v>
      </c>
      <c r="I46" s="672">
        <v>45070</v>
      </c>
      <c r="J46" s="672"/>
      <c r="K46" s="672">
        <v>45071</v>
      </c>
      <c r="L46" s="672"/>
      <c r="M46" s="672">
        <v>45072</v>
      </c>
      <c r="N46" s="672"/>
      <c r="O46" s="672">
        <v>45075</v>
      </c>
      <c r="P46" s="672"/>
      <c r="Q46" s="672">
        <v>45076</v>
      </c>
      <c r="R46" s="672"/>
      <c r="S46" s="289"/>
      <c r="T46" s="286"/>
    </row>
    <row r="47" spans="2:26" s="10" customFormat="1" ht="3" customHeight="1" thickTop="1" thickBot="1" x14ac:dyDescent="0.3">
      <c r="E47" s="301"/>
      <c r="F47" s="301"/>
      <c r="G47" s="301"/>
      <c r="H47" s="302"/>
      <c r="I47" s="303"/>
      <c r="J47" s="303"/>
      <c r="K47" s="301"/>
      <c r="L47" s="301"/>
      <c r="M47" s="301"/>
      <c r="N47" s="301"/>
      <c r="O47" s="301"/>
      <c r="P47" s="301"/>
      <c r="Q47" s="301"/>
      <c r="R47" s="301"/>
      <c r="S47" s="304"/>
      <c r="T47" s="300"/>
    </row>
    <row r="48" spans="2:26" ht="3" customHeight="1" thickTop="1" x14ac:dyDescent="0.25">
      <c r="S48" s="289"/>
      <c r="T48" s="286"/>
    </row>
    <row r="49" spans="19:20" hidden="1" x14ac:dyDescent="0.25">
      <c r="S49" s="289"/>
      <c r="T49" s="286"/>
    </row>
    <row r="50" spans="19:20" hidden="1" x14ac:dyDescent="0.25">
      <c r="S50" s="289"/>
      <c r="T50" s="286"/>
    </row>
    <row r="51" spans="19:20" hidden="1" x14ac:dyDescent="0.25">
      <c r="S51" s="289"/>
      <c r="T51" s="286"/>
    </row>
    <row r="52" spans="19:20" hidden="1" x14ac:dyDescent="0.25">
      <c r="S52" s="289"/>
      <c r="T52" s="286"/>
    </row>
    <row r="53" spans="19:20" hidden="1" x14ac:dyDescent="0.25">
      <c r="S53" s="289"/>
      <c r="T53" s="286"/>
    </row>
    <row r="54" spans="19:20" hidden="1" x14ac:dyDescent="0.25">
      <c r="S54" s="289"/>
      <c r="T54" s="286"/>
    </row>
    <row r="55" spans="19:20" hidden="1" x14ac:dyDescent="0.25">
      <c r="S55" s="289"/>
      <c r="T55" s="286"/>
    </row>
    <row r="56" spans="19:20" hidden="1" x14ac:dyDescent="0.25">
      <c r="S56" s="289"/>
      <c r="T56" s="286"/>
    </row>
    <row r="57" spans="19:20" hidden="1" x14ac:dyDescent="0.25">
      <c r="S57" s="289"/>
      <c r="T57" s="286"/>
    </row>
    <row r="58" spans="19:20" hidden="1" x14ac:dyDescent="0.25">
      <c r="S58" s="289"/>
      <c r="T58" s="286"/>
    </row>
    <row r="59" spans="19:20" hidden="1" x14ac:dyDescent="0.25">
      <c r="S59" s="289"/>
      <c r="T59" s="286"/>
    </row>
    <row r="60" spans="19:20" hidden="1" x14ac:dyDescent="0.25">
      <c r="S60" s="289"/>
      <c r="T60" s="286"/>
    </row>
    <row r="61" spans="19:20" hidden="1" x14ac:dyDescent="0.25">
      <c r="S61" s="289"/>
      <c r="T61" s="286"/>
    </row>
    <row r="62" spans="19:20" hidden="1" x14ac:dyDescent="0.25">
      <c r="S62" s="289"/>
      <c r="T62" s="286"/>
    </row>
    <row r="63" spans="19:20" hidden="1" x14ac:dyDescent="0.25">
      <c r="S63" s="289"/>
      <c r="T63" s="286"/>
    </row>
    <row r="64" spans="19:20" hidden="1" x14ac:dyDescent="0.25">
      <c r="S64" s="289"/>
      <c r="T64" s="286"/>
    </row>
    <row r="65" spans="19:20" hidden="1" x14ac:dyDescent="0.25">
      <c r="S65" s="289"/>
      <c r="T65" s="286"/>
    </row>
    <row r="66" spans="19:20" hidden="1" x14ac:dyDescent="0.25">
      <c r="S66" s="289"/>
      <c r="T66" s="286"/>
    </row>
    <row r="67" spans="19:20" hidden="1" x14ac:dyDescent="0.25">
      <c r="S67" s="289"/>
      <c r="T67" s="286"/>
    </row>
    <row r="68" spans="19:20" hidden="1" x14ac:dyDescent="0.25">
      <c r="S68" s="289"/>
      <c r="T68" s="286"/>
    </row>
    <row r="69" spans="19:20" hidden="1" x14ac:dyDescent="0.25">
      <c r="S69" s="289"/>
      <c r="T69" s="286"/>
    </row>
    <row r="70" spans="19:20" hidden="1" x14ac:dyDescent="0.25">
      <c r="S70" s="289"/>
      <c r="T70" s="286"/>
    </row>
    <row r="71" spans="19:20" hidden="1" x14ac:dyDescent="0.25">
      <c r="S71" s="289"/>
      <c r="T71" s="286"/>
    </row>
    <row r="72" spans="19:20" hidden="1" x14ac:dyDescent="0.25">
      <c r="S72" s="289"/>
      <c r="T72" s="286"/>
    </row>
    <row r="73" spans="19:20" hidden="1" x14ac:dyDescent="0.25">
      <c r="S73" s="289"/>
      <c r="T73" s="286"/>
    </row>
    <row r="74" spans="19:20" hidden="1" x14ac:dyDescent="0.25">
      <c r="S74" s="289"/>
      <c r="T74" s="286"/>
    </row>
    <row r="75" spans="19:20" hidden="1" x14ac:dyDescent="0.25">
      <c r="S75" s="289"/>
      <c r="T75" s="286"/>
    </row>
    <row r="76" spans="19:20" hidden="1" x14ac:dyDescent="0.25">
      <c r="S76" s="289"/>
      <c r="T76" s="286"/>
    </row>
    <row r="77" spans="19:20" hidden="1" x14ac:dyDescent="0.25">
      <c r="S77" s="289"/>
      <c r="T77" s="286"/>
    </row>
    <row r="78" spans="19:20" hidden="1" x14ac:dyDescent="0.25">
      <c r="S78" s="289"/>
      <c r="T78" s="286"/>
    </row>
    <row r="79" spans="19:20" hidden="1" x14ac:dyDescent="0.25">
      <c r="S79" s="289"/>
      <c r="T79" s="286"/>
    </row>
    <row r="80" spans="19:20" hidden="1" x14ac:dyDescent="0.25">
      <c r="S80" s="289"/>
      <c r="T80" s="286"/>
    </row>
    <row r="81" spans="19:20" hidden="1" x14ac:dyDescent="0.25">
      <c r="S81" s="289"/>
      <c r="T81" s="286"/>
    </row>
    <row r="82" spans="19:20" hidden="1" x14ac:dyDescent="0.25">
      <c r="S82" s="289"/>
      <c r="T82" s="286"/>
    </row>
    <row r="83" spans="19:20" hidden="1" x14ac:dyDescent="0.25">
      <c r="S83" s="289"/>
      <c r="T83" s="286"/>
    </row>
    <row r="84" spans="19:20" hidden="1" x14ac:dyDescent="0.25">
      <c r="S84" s="289"/>
      <c r="T84" s="286"/>
    </row>
    <row r="85" spans="19:20" hidden="1" x14ac:dyDescent="0.25">
      <c r="S85" s="289"/>
      <c r="T85" s="286"/>
    </row>
    <row r="86" spans="19:20" hidden="1" x14ac:dyDescent="0.25">
      <c r="S86" s="289"/>
      <c r="T86" s="286"/>
    </row>
    <row r="87" spans="19:20" hidden="1" x14ac:dyDescent="0.25">
      <c r="S87" s="289"/>
      <c r="T87" s="286"/>
    </row>
    <row r="88" spans="19:20" hidden="1" x14ac:dyDescent="0.25">
      <c r="S88" s="289"/>
      <c r="T88" s="286"/>
    </row>
    <row r="89" spans="19:20" hidden="1" x14ac:dyDescent="0.25">
      <c r="S89" s="289"/>
      <c r="T89" s="286"/>
    </row>
    <row r="90" spans="19:20" hidden="1" x14ac:dyDescent="0.25">
      <c r="S90" s="289"/>
      <c r="T90" s="286"/>
    </row>
    <row r="91" spans="19:20" hidden="1" x14ac:dyDescent="0.25">
      <c r="S91" s="289"/>
      <c r="T91" s="286"/>
    </row>
    <row r="92" spans="19:20" hidden="1" x14ac:dyDescent="0.25">
      <c r="S92" s="289"/>
      <c r="T92" s="286"/>
    </row>
    <row r="93" spans="19:20" hidden="1" x14ac:dyDescent="0.25">
      <c r="S93" s="289"/>
      <c r="T93" s="286"/>
    </row>
    <row r="94" spans="19:20" hidden="1" x14ac:dyDescent="0.25">
      <c r="S94" s="289"/>
      <c r="T94" s="286"/>
    </row>
    <row r="95" spans="19:20" hidden="1" x14ac:dyDescent="0.25">
      <c r="S95" s="289"/>
      <c r="T95" s="286"/>
    </row>
    <row r="96" spans="19:20" hidden="1" x14ac:dyDescent="0.25">
      <c r="S96" s="289"/>
      <c r="T96" s="286"/>
    </row>
    <row r="97" spans="19:20" hidden="1" x14ac:dyDescent="0.25">
      <c r="S97" s="289"/>
      <c r="T97" s="286"/>
    </row>
    <row r="98" spans="19:20" hidden="1" x14ac:dyDescent="0.25">
      <c r="S98" s="289"/>
      <c r="T98" s="286"/>
    </row>
    <row r="99" spans="19:20" hidden="1" x14ac:dyDescent="0.25">
      <c r="S99" s="289"/>
      <c r="T99" s="286"/>
    </row>
    <row r="100" spans="19:20" hidden="1" x14ac:dyDescent="0.25">
      <c r="S100" s="289"/>
      <c r="T100" s="286"/>
    </row>
    <row r="101" spans="19:20" hidden="1" x14ac:dyDescent="0.25">
      <c r="S101" s="289"/>
      <c r="T101" s="286"/>
    </row>
    <row r="102" spans="19:20" hidden="1" x14ac:dyDescent="0.25">
      <c r="S102" s="289"/>
      <c r="T102" s="286"/>
    </row>
    <row r="103" spans="19:20" hidden="1" x14ac:dyDescent="0.25">
      <c r="S103" s="289"/>
      <c r="T103" s="286"/>
    </row>
    <row r="104" spans="19:20" hidden="1" x14ac:dyDescent="0.25">
      <c r="S104" s="289"/>
      <c r="T104" s="286"/>
    </row>
    <row r="105" spans="19:20" hidden="1" x14ac:dyDescent="0.25">
      <c r="S105" s="289"/>
      <c r="T105" s="286"/>
    </row>
    <row r="106" spans="19:20" hidden="1" x14ac:dyDescent="0.25">
      <c r="S106" s="289"/>
      <c r="T106" s="286"/>
    </row>
    <row r="107" spans="19:20" hidden="1" x14ac:dyDescent="0.25">
      <c r="S107" s="289"/>
      <c r="T107" s="286"/>
    </row>
    <row r="108" spans="19:20" hidden="1" x14ac:dyDescent="0.25">
      <c r="S108" s="289"/>
      <c r="T108" s="286"/>
    </row>
    <row r="109" spans="19:20" hidden="1" x14ac:dyDescent="0.25">
      <c r="S109" s="289"/>
      <c r="T109" s="286"/>
    </row>
    <row r="110" spans="19:20" hidden="1" x14ac:dyDescent="0.25">
      <c r="S110" s="289"/>
      <c r="T110" s="286"/>
    </row>
    <row r="111" spans="19:20" hidden="1" x14ac:dyDescent="0.25">
      <c r="S111" s="289"/>
      <c r="T111" s="286"/>
    </row>
    <row r="112" spans="19:20" hidden="1" x14ac:dyDescent="0.25">
      <c r="S112" s="289"/>
      <c r="T112" s="286"/>
    </row>
    <row r="113" spans="19:20" hidden="1" x14ac:dyDescent="0.25">
      <c r="S113" s="289"/>
      <c r="T113" s="286"/>
    </row>
    <row r="114" spans="19:20" hidden="1" x14ac:dyDescent="0.25">
      <c r="S114" s="289"/>
      <c r="T114" s="286"/>
    </row>
    <row r="115" spans="19:20" hidden="1" x14ac:dyDescent="0.25">
      <c r="S115" s="289"/>
      <c r="T115" s="286"/>
    </row>
    <row r="116" spans="19:20" hidden="1" x14ac:dyDescent="0.25">
      <c r="S116" s="289"/>
      <c r="T116" s="286"/>
    </row>
    <row r="117" spans="19:20" hidden="1" x14ac:dyDescent="0.25">
      <c r="S117" s="289"/>
      <c r="T117" s="286"/>
    </row>
    <row r="118" spans="19:20" hidden="1" x14ac:dyDescent="0.25">
      <c r="S118" s="289"/>
      <c r="T118" s="286"/>
    </row>
    <row r="119" spans="19:20" hidden="1" x14ac:dyDescent="0.25">
      <c r="S119" s="289"/>
      <c r="T119" s="286"/>
    </row>
    <row r="120" spans="19:20" hidden="1" x14ac:dyDescent="0.25">
      <c r="S120" s="289"/>
      <c r="T120" s="286"/>
    </row>
    <row r="121" spans="19:20" hidden="1" x14ac:dyDescent="0.25">
      <c r="S121" s="289"/>
      <c r="T121" s="286"/>
    </row>
    <row r="122" spans="19:20" hidden="1" x14ac:dyDescent="0.25">
      <c r="S122" s="289"/>
      <c r="T122" s="286"/>
    </row>
    <row r="123" spans="19:20" hidden="1" x14ac:dyDescent="0.25">
      <c r="S123" s="289"/>
      <c r="T123" s="286"/>
    </row>
    <row r="124" spans="19:20" hidden="1" x14ac:dyDescent="0.25">
      <c r="S124" s="289"/>
      <c r="T124" s="286"/>
    </row>
    <row r="125" spans="19:20" hidden="1" x14ac:dyDescent="0.25">
      <c r="S125" s="289"/>
      <c r="T125" s="286"/>
    </row>
    <row r="126" spans="19:20" hidden="1" x14ac:dyDescent="0.25">
      <c r="S126" s="289"/>
      <c r="T126" s="286"/>
    </row>
    <row r="127" spans="19:20" hidden="1" x14ac:dyDescent="0.25">
      <c r="S127" s="329"/>
      <c r="T127" s="330"/>
    </row>
  </sheetData>
  <sheetProtection algorithmName="SHA-512" hashValue="b2h0td0Jn4F3wC51NIp0rRBiMd8IDRwle3TWNeCPUGrzbIvkaUxjDFX8/tloTH6Qygdr0HXg2RaYae4Ph+fp2Q==" saltValue="8lKxzC7V9SzhXQFHnbeQAA==" spinCount="100000" sheet="1" objects="1" scenarios="1"/>
  <protectedRanges>
    <protectedRange algorithmName="SHA-512" hashValue="86yaVYmB4Yh2aO9qemT5X5lrcDY68sgY/u+LG6OgShUp0v4IuyBxXhzYHwo3KaCqnJS1QVRvLhYCWiyuUnjqbA==" saltValue="XDuvPAmmYvDCvoJc2PEb5w==" spinCount="100000" sqref="E22:R1048576" name="ExogenaSupersociedades"/>
  </protectedRanges>
  <mergeCells count="80">
    <mergeCell ref="B6:C7"/>
    <mergeCell ref="B8:C8"/>
    <mergeCell ref="B10:B21"/>
    <mergeCell ref="E9:R9"/>
    <mergeCell ref="E25:G31"/>
    <mergeCell ref="E12:R21"/>
    <mergeCell ref="Q31:R31"/>
    <mergeCell ref="I30:J30"/>
    <mergeCell ref="K30:L30"/>
    <mergeCell ref="M30:N30"/>
    <mergeCell ref="O30:P30"/>
    <mergeCell ref="Q30:R30"/>
    <mergeCell ref="I31:J31"/>
    <mergeCell ref="K31:L31"/>
    <mergeCell ref="M31:N31"/>
    <mergeCell ref="O31:P31"/>
    <mergeCell ref="B1:C5"/>
    <mergeCell ref="E10:I10"/>
    <mergeCell ref="E8:R8"/>
    <mergeCell ref="E11:R11"/>
    <mergeCell ref="Q45:R45"/>
    <mergeCell ref="E44:G46"/>
    <mergeCell ref="I44:J44"/>
    <mergeCell ref="K44:L44"/>
    <mergeCell ref="M44:N44"/>
    <mergeCell ref="O44:P44"/>
    <mergeCell ref="Q44:R44"/>
    <mergeCell ref="I45:J45"/>
    <mergeCell ref="K45:L45"/>
    <mergeCell ref="M45:N45"/>
    <mergeCell ref="O45:P45"/>
    <mergeCell ref="E43:G43"/>
    <mergeCell ref="I46:J46"/>
    <mergeCell ref="K46:L46"/>
    <mergeCell ref="M46:N46"/>
    <mergeCell ref="O46:P46"/>
    <mergeCell ref="Q46:R46"/>
    <mergeCell ref="I43:J43"/>
    <mergeCell ref="K43:L43"/>
    <mergeCell ref="M43:N43"/>
    <mergeCell ref="O43:P43"/>
    <mergeCell ref="Q43:R43"/>
    <mergeCell ref="E35:R36"/>
    <mergeCell ref="E37:G37"/>
    <mergeCell ref="E38:G38"/>
    <mergeCell ref="O38:P38"/>
    <mergeCell ref="Q38:R38"/>
    <mergeCell ref="I28:J28"/>
    <mergeCell ref="K28:L28"/>
    <mergeCell ref="M28:N28"/>
    <mergeCell ref="O28:P28"/>
    <mergeCell ref="Q28:R28"/>
    <mergeCell ref="I29:J29"/>
    <mergeCell ref="K29:L29"/>
    <mergeCell ref="M29:N29"/>
    <mergeCell ref="O29:P29"/>
    <mergeCell ref="Q29:R29"/>
    <mergeCell ref="M27:N27"/>
    <mergeCell ref="O27:P27"/>
    <mergeCell ref="Q27:R27"/>
    <mergeCell ref="I26:J26"/>
    <mergeCell ref="K26:L26"/>
    <mergeCell ref="M26:N26"/>
    <mergeCell ref="O26:P26"/>
    <mergeCell ref="B22:C46"/>
    <mergeCell ref="E23:R23"/>
    <mergeCell ref="E24:G24"/>
    <mergeCell ref="I24:J24"/>
    <mergeCell ref="K24:L24"/>
    <mergeCell ref="M24:N24"/>
    <mergeCell ref="O24:P24"/>
    <mergeCell ref="Q24:R24"/>
    <mergeCell ref="I25:J25"/>
    <mergeCell ref="K25:L25"/>
    <mergeCell ref="M25:N25"/>
    <mergeCell ref="O25:P25"/>
    <mergeCell ref="Q25:R25"/>
    <mergeCell ref="Q26:R26"/>
    <mergeCell ref="I27:J27"/>
    <mergeCell ref="K27:L27"/>
  </mergeCells>
  <hyperlinks>
    <hyperlink ref="B10:B21" location="Anual!A1" display="Calendario" xr:uid="{712A4638-BC8B-4FCF-B283-83D4226034BD}"/>
    <hyperlink ref="C10" location="Enero!A1" display="Enero" xr:uid="{24650111-ED97-44FA-92E3-6510FE02FA26}"/>
    <hyperlink ref="C11" location="Febrero!A1" display="Febrero" xr:uid="{6BCAA0FD-200D-4E60-A4FA-26247B24DDB9}"/>
    <hyperlink ref="C12" location="Marzo!A1" display="Marzo" xr:uid="{49E58D7A-39C4-4528-A635-C168351FBE38}"/>
    <hyperlink ref="C13" location="Abril!A1" display="Abril" xr:uid="{91D84880-B497-47D4-82B0-A5AB0492FA08}"/>
    <hyperlink ref="C14" location="Mayo!A1" display="Mayo" xr:uid="{048431B9-EF09-44BC-BBAA-35E7D481665D}"/>
    <hyperlink ref="C15" location="Junio!A1" display="Junio" xr:uid="{E34AC057-840E-4CDC-BEFE-E708A27DB7D0}"/>
    <hyperlink ref="C16" location="Julio!A1" display="Julio" xr:uid="{42218253-7B7C-414A-8DEB-CA5DA0451D5F}"/>
    <hyperlink ref="C17" location="Agosto!A1" display="Agosto" xr:uid="{C71F8AE3-D34C-44A9-ACEB-8CFB426FB883}"/>
    <hyperlink ref="C18" location="Septiembre!A1" display="Septiembre" xr:uid="{1D97AB88-E133-4BD2-90C0-D990F049B662}"/>
    <hyperlink ref="C19" location="Octubre!A1" display="Octubre" xr:uid="{C04AEAD1-C8D0-4E96-B18B-E0AF3DC5C45A}"/>
    <hyperlink ref="C20" location="Noviembre!A1" display="Noviembre" xr:uid="{869F007C-D8F8-488E-ADD0-83D87A4140F1}"/>
    <hyperlink ref="C21" location="Diciembre!A1" display="Diciembre" xr:uid="{C0AEDC0D-04AB-41DB-86A2-17DC27594259}"/>
    <hyperlink ref="E10:I10" r:id="rId1" display="Circular Externa 100-000012 de 2022" xr:uid="{89B60FA9-2D22-4A8E-88DF-6816717891F8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3B8C6-CD28-40E2-A31A-A86453A1B5FB}">
  <dimension ref="A1:P32"/>
  <sheetViews>
    <sheetView showGridLines="0" showRowColHeaders="0" tabSelected="1" workbookViewId="0">
      <selection sqref="A1:A30"/>
    </sheetView>
  </sheetViews>
  <sheetFormatPr baseColWidth="10" defaultColWidth="0" defaultRowHeight="15" zeroHeight="1" x14ac:dyDescent="0.25"/>
  <cols>
    <col min="1" max="1" width="9" customWidth="1"/>
    <col min="2" max="15" width="11.42578125" customWidth="1"/>
    <col min="16" max="16" width="2.7109375" customWidth="1"/>
    <col min="17" max="16384" width="11.42578125" hidden="1"/>
  </cols>
  <sheetData>
    <row r="1" spans="1:1" ht="66.75" customHeight="1" x14ac:dyDescent="0.25">
      <c r="A1" s="546"/>
    </row>
    <row r="2" spans="1:1" x14ac:dyDescent="0.25">
      <c r="A2" s="546"/>
    </row>
    <row r="3" spans="1:1" x14ac:dyDescent="0.25">
      <c r="A3" s="546"/>
    </row>
    <row r="4" spans="1:1" x14ac:dyDescent="0.25">
      <c r="A4" s="546"/>
    </row>
    <row r="5" spans="1:1" x14ac:dyDescent="0.25">
      <c r="A5" s="546"/>
    </row>
    <row r="6" spans="1:1" x14ac:dyDescent="0.25">
      <c r="A6" s="546"/>
    </row>
    <row r="7" spans="1:1" x14ac:dyDescent="0.25">
      <c r="A7" s="546"/>
    </row>
    <row r="8" spans="1:1" x14ac:dyDescent="0.25">
      <c r="A8" s="546"/>
    </row>
    <row r="9" spans="1:1" x14ac:dyDescent="0.25">
      <c r="A9" s="546"/>
    </row>
    <row r="10" spans="1:1" x14ac:dyDescent="0.25">
      <c r="A10" s="546"/>
    </row>
    <row r="11" spans="1:1" x14ac:dyDescent="0.25">
      <c r="A11" s="546"/>
    </row>
    <row r="12" spans="1:1" x14ac:dyDescent="0.25">
      <c r="A12" s="546"/>
    </row>
    <row r="13" spans="1:1" x14ac:dyDescent="0.25">
      <c r="A13" s="546"/>
    </row>
    <row r="14" spans="1:1" x14ac:dyDescent="0.25">
      <c r="A14" s="546"/>
    </row>
    <row r="15" spans="1:1" x14ac:dyDescent="0.25">
      <c r="A15" s="546"/>
    </row>
    <row r="16" spans="1:1" x14ac:dyDescent="0.25">
      <c r="A16" s="546"/>
    </row>
    <row r="17" spans="1:1" x14ac:dyDescent="0.25">
      <c r="A17" s="546"/>
    </row>
    <row r="18" spans="1:1" x14ac:dyDescent="0.25">
      <c r="A18" s="546"/>
    </row>
    <row r="19" spans="1:1" x14ac:dyDescent="0.25">
      <c r="A19" s="546"/>
    </row>
    <row r="20" spans="1:1" x14ac:dyDescent="0.25">
      <c r="A20" s="546"/>
    </row>
    <row r="21" spans="1:1" x14ac:dyDescent="0.25">
      <c r="A21" s="546"/>
    </row>
    <row r="22" spans="1:1" x14ac:dyDescent="0.25">
      <c r="A22" s="546"/>
    </row>
    <row r="23" spans="1:1" x14ac:dyDescent="0.25">
      <c r="A23" s="546"/>
    </row>
    <row r="24" spans="1:1" x14ac:dyDescent="0.25">
      <c r="A24" s="546"/>
    </row>
    <row r="25" spans="1:1" x14ac:dyDescent="0.25">
      <c r="A25" s="546"/>
    </row>
    <row r="26" spans="1:1" x14ac:dyDescent="0.25">
      <c r="A26" s="546"/>
    </row>
    <row r="27" spans="1:1" x14ac:dyDescent="0.25">
      <c r="A27" s="546"/>
    </row>
    <row r="28" spans="1:1" x14ac:dyDescent="0.25">
      <c r="A28" s="546"/>
    </row>
    <row r="29" spans="1:1" x14ac:dyDescent="0.25">
      <c r="A29" s="546"/>
    </row>
    <row r="30" spans="1:1" x14ac:dyDescent="0.25">
      <c r="A30" s="546"/>
    </row>
    <row r="31" spans="1:1" ht="4.5" customHeight="1" x14ac:dyDescent="0.25"/>
    <row r="32" spans="1:1" ht="5.25" hidden="1" customHeight="1" x14ac:dyDescent="0.25"/>
  </sheetData>
  <sheetProtection algorithmName="SHA-512" hashValue="PTo7A/cBJYCWamzH4aprR8BXg0Vc//6gKM0djnoZMly8Lz6NPnq6WlOmRyNEwNkCIRvtuIL3asD7oRhfDj6HCg==" saltValue="NIEUcxBQQJoSZAcDkUOU/w==" spinCount="100000" sheet="1" objects="1" scenarios="1"/>
  <protectedRanges>
    <protectedRange algorithmName="SHA-512" hashValue="ubKQGUadpCJiesAXvnM9sA0SNyRU8Msr/olfOzxqd++Rtbsd/pm3B3VfH9C0CXdeJgHQ5blxdPy/5zmVRERLiQ==" saltValue="FWqxfTSVyCDsZTPmpYAFqA==" spinCount="100000" sqref="A1:A30" name="Portada"/>
  </protectedRanges>
  <mergeCells count="1">
    <mergeCell ref="A1:A30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26F5E-6DEA-431D-8871-3530EB89EFE0}">
  <dimension ref="A1:Z103"/>
  <sheetViews>
    <sheetView showGridLines="0" showRowColHeaders="0" workbookViewId="0">
      <pane ySplit="7" topLeftCell="A39" activePane="bottomLeft" state="frozen"/>
      <selection pane="bottomLeft" activeCell="B22" sqref="B22:C62"/>
    </sheetView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4.28515625" customWidth="1"/>
    <col min="6" max="7" width="11.42578125" customWidth="1"/>
    <col min="8" max="8" width="16.7109375" customWidth="1"/>
    <col min="9" max="18" width="5.7109375" customWidth="1"/>
    <col min="19" max="19" width="0.85546875" style="10" customWidth="1"/>
    <col min="20" max="22" width="11.42578125" hidden="1" customWidth="1"/>
    <col min="23" max="23" width="14.140625" hidden="1" customWidth="1"/>
    <col min="24" max="24" width="20.42578125" hidden="1" customWidth="1"/>
    <col min="25" max="25" width="14.140625" hidden="1" customWidth="1"/>
    <col min="26" max="26" width="20.42578125" hidden="1" customWidth="1"/>
    <col min="27" max="16384" width="11.42578125" hidden="1"/>
  </cols>
  <sheetData>
    <row r="1" spans="2:19" x14ac:dyDescent="0.25">
      <c r="B1" s="546"/>
      <c r="C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/>
    </row>
    <row r="2" spans="2:19" x14ac:dyDescent="0.25">
      <c r="B2" s="546"/>
      <c r="C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/>
    </row>
    <row r="3" spans="2:19" x14ac:dyDescent="0.25">
      <c r="B3" s="546"/>
      <c r="C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/>
    </row>
    <row r="4" spans="2:19" ht="15" customHeight="1" x14ac:dyDescent="0.25">
      <c r="B4" s="546"/>
      <c r="C4" s="546"/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/>
    </row>
    <row r="5" spans="2:19" ht="15" customHeight="1" x14ac:dyDescent="0.25">
      <c r="B5" s="546"/>
      <c r="C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/>
    </row>
    <row r="6" spans="2:19" ht="15" customHeight="1" x14ac:dyDescent="0.25">
      <c r="B6" s="563" t="s">
        <v>47</v>
      </c>
      <c r="C6" s="563"/>
      <c r="E6" s="217" t="s">
        <v>488</v>
      </c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/>
    </row>
    <row r="7" spans="2:19" ht="15" customHeight="1" x14ac:dyDescent="0.25">
      <c r="B7" s="563"/>
      <c r="C7" s="563"/>
      <c r="E7" s="663" t="s">
        <v>489</v>
      </c>
      <c r="F7" s="663"/>
      <c r="G7" s="663"/>
      <c r="H7" s="663"/>
      <c r="I7" s="663"/>
      <c r="J7" s="663"/>
      <c r="K7" s="663"/>
      <c r="L7" s="663"/>
      <c r="M7" s="663"/>
      <c r="N7" s="663"/>
      <c r="O7" s="663"/>
      <c r="P7" s="663"/>
      <c r="Q7" s="663"/>
      <c r="R7" s="663"/>
      <c r="S7"/>
    </row>
    <row r="8" spans="2:19" x14ac:dyDescent="0.25">
      <c r="B8" s="555" t="s">
        <v>67</v>
      </c>
      <c r="C8" s="556"/>
    </row>
    <row r="9" spans="2:19" x14ac:dyDescent="0.25">
      <c r="B9" s="173"/>
      <c r="C9" s="172" t="s">
        <v>51</v>
      </c>
    </row>
    <row r="10" spans="2:19" ht="15" customHeight="1" x14ac:dyDescent="0.25">
      <c r="B10" s="557" t="s">
        <v>52</v>
      </c>
      <c r="C10" s="159" t="s">
        <v>53</v>
      </c>
    </row>
    <row r="11" spans="2:19" x14ac:dyDescent="0.25">
      <c r="B11" s="558"/>
      <c r="C11" s="160" t="s">
        <v>56</v>
      </c>
    </row>
    <row r="12" spans="2:19" x14ac:dyDescent="0.25">
      <c r="B12" s="558"/>
      <c r="C12" s="160" t="s">
        <v>57</v>
      </c>
    </row>
    <row r="13" spans="2:19" x14ac:dyDescent="0.25">
      <c r="B13" s="558"/>
      <c r="C13" s="160" t="s">
        <v>58</v>
      </c>
    </row>
    <row r="14" spans="2:19" x14ac:dyDescent="0.25">
      <c r="B14" s="558"/>
      <c r="C14" s="160" t="s">
        <v>59</v>
      </c>
    </row>
    <row r="15" spans="2:19" x14ac:dyDescent="0.25">
      <c r="B15" s="558"/>
      <c r="C15" s="160" t="s">
        <v>60</v>
      </c>
    </row>
    <row r="16" spans="2:19" x14ac:dyDescent="0.25">
      <c r="B16" s="558"/>
      <c r="C16" s="160" t="s">
        <v>61</v>
      </c>
    </row>
    <row r="17" spans="2:20" ht="15" customHeight="1" x14ac:dyDescent="0.25">
      <c r="B17" s="558"/>
      <c r="C17" s="160" t="s">
        <v>62</v>
      </c>
    </row>
    <row r="18" spans="2:20" ht="15" customHeight="1" x14ac:dyDescent="0.25">
      <c r="B18" s="558"/>
      <c r="C18" s="160" t="s">
        <v>63</v>
      </c>
    </row>
    <row r="19" spans="2:20" s="10" customFormat="1" ht="15" customHeight="1" x14ac:dyDescent="0.25">
      <c r="B19" s="558"/>
      <c r="C19" s="160" t="s">
        <v>64</v>
      </c>
    </row>
    <row r="20" spans="2:20" ht="15" customHeight="1" x14ac:dyDescent="0.25">
      <c r="B20" s="558"/>
      <c r="C20" s="160" t="s">
        <v>65</v>
      </c>
    </row>
    <row r="21" spans="2:20" ht="15" customHeight="1" thickBot="1" x14ac:dyDescent="0.3">
      <c r="B21" s="558"/>
      <c r="C21" s="160" t="s">
        <v>66</v>
      </c>
      <c r="E21" s="528"/>
      <c r="F21" s="528"/>
      <c r="G21" s="528"/>
      <c r="H21" s="528"/>
      <c r="I21" s="528"/>
    </row>
    <row r="22" spans="2:20" ht="15" customHeight="1" thickTop="1" thickBot="1" x14ac:dyDescent="0.3">
      <c r="B22" s="688"/>
      <c r="C22" s="688"/>
      <c r="E22" s="439" t="s">
        <v>492</v>
      </c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</row>
    <row r="23" spans="2:20" ht="15" customHeight="1" thickTop="1" thickBot="1" x14ac:dyDescent="0.3">
      <c r="B23" s="688"/>
      <c r="C23" s="688"/>
    </row>
    <row r="24" spans="2:20" ht="15" customHeight="1" thickTop="1" thickBot="1" x14ac:dyDescent="0.4">
      <c r="B24" s="688"/>
      <c r="C24" s="688"/>
      <c r="E24" s="332" t="s">
        <v>490</v>
      </c>
      <c r="F24" s="333"/>
      <c r="G24" s="333"/>
      <c r="H24" s="334"/>
      <c r="I24" s="334"/>
      <c r="J24" s="334"/>
      <c r="K24" s="334"/>
      <c r="L24" s="334"/>
      <c r="M24" s="334"/>
      <c r="N24" s="334"/>
      <c r="O24" s="335"/>
      <c r="P24" s="335"/>
      <c r="Q24" s="335"/>
      <c r="R24" s="336"/>
      <c r="S24" s="440"/>
      <c r="T24" s="288"/>
    </row>
    <row r="25" spans="2:20" s="10" customFormat="1" ht="5.25" customHeight="1" thickTop="1" thickBot="1" x14ac:dyDescent="0.4">
      <c r="B25" s="688"/>
      <c r="C25" s="688"/>
      <c r="F25" s="453"/>
      <c r="G25" s="453"/>
      <c r="H25" s="454"/>
      <c r="I25" s="454"/>
      <c r="J25" s="454"/>
      <c r="K25" s="454"/>
      <c r="L25" s="454"/>
      <c r="M25" s="454"/>
      <c r="N25" s="454"/>
      <c r="O25" s="455"/>
      <c r="P25" s="455"/>
      <c r="Q25" s="455"/>
      <c r="R25" s="456"/>
      <c r="T25" s="300"/>
    </row>
    <row r="26" spans="2:20" ht="15" customHeight="1" thickTop="1" thickBot="1" x14ac:dyDescent="0.3">
      <c r="B26" s="688"/>
      <c r="C26" s="688"/>
      <c r="E26" s="467" t="s">
        <v>442</v>
      </c>
      <c r="F26" s="468"/>
      <c r="G26" s="468"/>
      <c r="H26" s="468"/>
      <c r="I26" s="468"/>
      <c r="J26" s="468"/>
      <c r="K26" s="468"/>
      <c r="L26" s="468"/>
      <c r="M26" s="469"/>
      <c r="N26" s="469"/>
      <c r="O26" s="469"/>
      <c r="P26" s="469"/>
      <c r="Q26" s="469"/>
      <c r="R26" s="470"/>
      <c r="T26" s="286"/>
    </row>
    <row r="27" spans="2:20" ht="30" customHeight="1" thickTop="1" thickBot="1" x14ac:dyDescent="0.3">
      <c r="B27" s="688"/>
      <c r="C27" s="688"/>
      <c r="E27" s="452" t="s">
        <v>443</v>
      </c>
      <c r="F27" s="702" t="s">
        <v>444</v>
      </c>
      <c r="G27" s="703"/>
      <c r="H27" s="447" t="s">
        <v>54</v>
      </c>
      <c r="I27" s="704" t="s">
        <v>167</v>
      </c>
      <c r="J27" s="704"/>
      <c r="K27" s="704" t="s">
        <v>168</v>
      </c>
      <c r="L27" s="704">
        <v>4</v>
      </c>
      <c r="M27" s="704" t="s">
        <v>169</v>
      </c>
      <c r="N27" s="704">
        <v>6</v>
      </c>
      <c r="O27" s="446" t="s">
        <v>170</v>
      </c>
      <c r="P27" s="446">
        <v>8</v>
      </c>
      <c r="Q27" s="704" t="s">
        <v>171</v>
      </c>
      <c r="R27" s="705">
        <v>0</v>
      </c>
      <c r="T27" s="286"/>
    </row>
    <row r="28" spans="2:20" ht="24.95" customHeight="1" thickTop="1" thickBot="1" x14ac:dyDescent="0.3">
      <c r="B28" s="688"/>
      <c r="C28" s="688"/>
      <c r="E28" s="689" t="s">
        <v>230</v>
      </c>
      <c r="F28" s="689"/>
      <c r="G28" s="699"/>
      <c r="H28" s="297" t="s">
        <v>403</v>
      </c>
      <c r="I28" s="693">
        <v>45012</v>
      </c>
      <c r="J28" s="693"/>
      <c r="K28" s="693">
        <v>45013</v>
      </c>
      <c r="L28" s="693"/>
      <c r="M28" s="693">
        <v>45014</v>
      </c>
      <c r="N28" s="693"/>
      <c r="O28" s="693">
        <v>45015</v>
      </c>
      <c r="P28" s="693"/>
      <c r="Q28" s="693">
        <v>45016</v>
      </c>
      <c r="R28" s="694"/>
      <c r="T28" s="286"/>
    </row>
    <row r="29" spans="2:20" ht="0.2" customHeight="1" thickTop="1" thickBot="1" x14ac:dyDescent="0.3">
      <c r="B29" s="688"/>
      <c r="C29" s="688"/>
      <c r="E29" s="340"/>
      <c r="F29" s="340"/>
      <c r="G29" s="341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451"/>
      <c r="T29" s="286"/>
    </row>
    <row r="30" spans="2:20" ht="30" customHeight="1" thickTop="1" thickBot="1" x14ac:dyDescent="0.3">
      <c r="B30" s="688"/>
      <c r="C30" s="688"/>
      <c r="E30" s="452" t="s">
        <v>445</v>
      </c>
      <c r="F30" s="695" t="s">
        <v>446</v>
      </c>
      <c r="G30" s="696"/>
      <c r="H30" s="449" t="s">
        <v>54</v>
      </c>
      <c r="I30" s="697" t="s">
        <v>167</v>
      </c>
      <c r="J30" s="697"/>
      <c r="K30" s="697" t="s">
        <v>168</v>
      </c>
      <c r="L30" s="697">
        <v>4</v>
      </c>
      <c r="M30" s="697" t="s">
        <v>169</v>
      </c>
      <c r="N30" s="697">
        <v>6</v>
      </c>
      <c r="O30" s="697" t="s">
        <v>170</v>
      </c>
      <c r="P30" s="697">
        <v>8</v>
      </c>
      <c r="Q30" s="697" t="s">
        <v>171</v>
      </c>
      <c r="R30" s="698">
        <v>0</v>
      </c>
      <c r="T30" s="286"/>
    </row>
    <row r="31" spans="2:20" ht="24.95" customHeight="1" thickTop="1" thickBot="1" x14ac:dyDescent="0.3">
      <c r="B31" s="688"/>
      <c r="C31" s="688"/>
      <c r="E31" s="689" t="s">
        <v>218</v>
      </c>
      <c r="F31" s="689"/>
      <c r="G31" s="690"/>
      <c r="H31" s="450" t="s">
        <v>403</v>
      </c>
      <c r="I31" s="691">
        <v>45069</v>
      </c>
      <c r="J31" s="691"/>
      <c r="K31" s="691">
        <v>45070</v>
      </c>
      <c r="L31" s="691"/>
      <c r="M31" s="691">
        <v>45071</v>
      </c>
      <c r="N31" s="691"/>
      <c r="O31" s="691">
        <v>45072</v>
      </c>
      <c r="P31" s="691"/>
      <c r="Q31" s="691">
        <v>45075</v>
      </c>
      <c r="R31" s="692"/>
      <c r="T31" s="286"/>
    </row>
    <row r="32" spans="2:20" ht="0.2" customHeight="1" thickTop="1" thickBot="1" x14ac:dyDescent="0.3">
      <c r="B32" s="688"/>
      <c r="C32" s="688"/>
      <c r="E32" s="341"/>
      <c r="F32" s="341"/>
      <c r="G32" s="341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451"/>
      <c r="T32" s="286"/>
    </row>
    <row r="33" spans="2:20" ht="30" customHeight="1" thickTop="1" thickBot="1" x14ac:dyDescent="0.3">
      <c r="B33" s="688"/>
      <c r="C33" s="688"/>
      <c r="E33" s="452" t="s">
        <v>447</v>
      </c>
      <c r="F33" s="695" t="s">
        <v>448</v>
      </c>
      <c r="G33" s="696"/>
      <c r="H33" s="447" t="s">
        <v>54</v>
      </c>
      <c r="I33" s="700" t="s">
        <v>167</v>
      </c>
      <c r="J33" s="700"/>
      <c r="K33" s="700" t="s">
        <v>168</v>
      </c>
      <c r="L33" s="700">
        <v>4</v>
      </c>
      <c r="M33" s="700" t="s">
        <v>169</v>
      </c>
      <c r="N33" s="700">
        <v>6</v>
      </c>
      <c r="O33" s="700" t="s">
        <v>170</v>
      </c>
      <c r="P33" s="700">
        <v>8</v>
      </c>
      <c r="Q33" s="700" t="s">
        <v>171</v>
      </c>
      <c r="R33" s="701">
        <v>0</v>
      </c>
      <c r="T33" s="286"/>
    </row>
    <row r="34" spans="2:20" ht="24.95" customHeight="1" thickTop="1" thickBot="1" x14ac:dyDescent="0.3">
      <c r="B34" s="688"/>
      <c r="C34" s="688"/>
      <c r="E34" s="689" t="s">
        <v>220</v>
      </c>
      <c r="F34" s="689"/>
      <c r="G34" s="690"/>
      <c r="H34" s="450" t="s">
        <v>403</v>
      </c>
      <c r="I34" s="691">
        <v>45131</v>
      </c>
      <c r="J34" s="691"/>
      <c r="K34" s="691">
        <v>45132</v>
      </c>
      <c r="L34" s="691"/>
      <c r="M34" s="691">
        <v>45133</v>
      </c>
      <c r="N34" s="691"/>
      <c r="O34" s="691">
        <v>45134</v>
      </c>
      <c r="P34" s="691"/>
      <c r="Q34" s="691">
        <v>45135</v>
      </c>
      <c r="R34" s="692"/>
      <c r="T34" s="286"/>
    </row>
    <row r="35" spans="2:20" ht="0.2" customHeight="1" thickTop="1" thickBot="1" x14ac:dyDescent="0.3">
      <c r="B35" s="688"/>
      <c r="C35" s="688"/>
      <c r="E35" s="341"/>
      <c r="F35" s="341"/>
      <c r="G35" s="341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451"/>
      <c r="T35" s="286"/>
    </row>
    <row r="36" spans="2:20" ht="30" customHeight="1" thickTop="1" thickBot="1" x14ac:dyDescent="0.3">
      <c r="B36" s="688"/>
      <c r="C36" s="688"/>
      <c r="E36" s="452" t="s">
        <v>449</v>
      </c>
      <c r="F36" s="695" t="s">
        <v>450</v>
      </c>
      <c r="G36" s="706"/>
      <c r="H36" s="447" t="s">
        <v>54</v>
      </c>
      <c r="I36" s="700" t="s">
        <v>167</v>
      </c>
      <c r="J36" s="700"/>
      <c r="K36" s="700" t="s">
        <v>168</v>
      </c>
      <c r="L36" s="700">
        <v>4</v>
      </c>
      <c r="M36" s="700" t="s">
        <v>169</v>
      </c>
      <c r="N36" s="700">
        <v>6</v>
      </c>
      <c r="O36" s="700" t="s">
        <v>170</v>
      </c>
      <c r="P36" s="700">
        <v>8</v>
      </c>
      <c r="Q36" s="700" t="s">
        <v>171</v>
      </c>
      <c r="R36" s="701">
        <v>0</v>
      </c>
      <c r="T36" s="286"/>
    </row>
    <row r="37" spans="2:20" ht="24.95" customHeight="1" thickTop="1" thickBot="1" x14ac:dyDescent="0.3">
      <c r="B37" s="688"/>
      <c r="C37" s="688"/>
      <c r="E37" s="689" t="s">
        <v>222</v>
      </c>
      <c r="F37" s="689"/>
      <c r="G37" s="699"/>
      <c r="H37" s="448" t="s">
        <v>403</v>
      </c>
      <c r="I37" s="693">
        <v>45194</v>
      </c>
      <c r="J37" s="693"/>
      <c r="K37" s="693">
        <v>45195</v>
      </c>
      <c r="L37" s="693"/>
      <c r="M37" s="693">
        <v>45196</v>
      </c>
      <c r="N37" s="693"/>
      <c r="O37" s="693">
        <v>45197</v>
      </c>
      <c r="P37" s="693"/>
      <c r="Q37" s="693">
        <v>45198</v>
      </c>
      <c r="R37" s="694"/>
      <c r="T37" s="286"/>
    </row>
    <row r="38" spans="2:20" ht="0.2" customHeight="1" thickTop="1" thickBot="1" x14ac:dyDescent="0.3">
      <c r="B38" s="688"/>
      <c r="C38" s="688"/>
      <c r="E38" s="341"/>
      <c r="F38" s="341"/>
      <c r="G38" s="341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451"/>
      <c r="T38" s="286"/>
    </row>
    <row r="39" spans="2:20" ht="30" customHeight="1" thickTop="1" thickBot="1" x14ac:dyDescent="0.3">
      <c r="B39" s="688"/>
      <c r="C39" s="688"/>
      <c r="E39" s="357" t="s">
        <v>451</v>
      </c>
      <c r="F39" s="707" t="s">
        <v>452</v>
      </c>
      <c r="G39" s="696"/>
      <c r="H39" s="449" t="s">
        <v>54</v>
      </c>
      <c r="I39" s="697" t="s">
        <v>167</v>
      </c>
      <c r="J39" s="697"/>
      <c r="K39" s="697" t="s">
        <v>168</v>
      </c>
      <c r="L39" s="697">
        <v>4</v>
      </c>
      <c r="M39" s="697" t="s">
        <v>169</v>
      </c>
      <c r="N39" s="697">
        <v>6</v>
      </c>
      <c r="O39" s="697" t="s">
        <v>170</v>
      </c>
      <c r="P39" s="697">
        <v>8</v>
      </c>
      <c r="Q39" s="697" t="s">
        <v>171</v>
      </c>
      <c r="R39" s="698">
        <v>0</v>
      </c>
      <c r="T39" s="286"/>
    </row>
    <row r="40" spans="2:20" ht="24.95" customHeight="1" thickTop="1" thickBot="1" x14ac:dyDescent="0.3">
      <c r="B40" s="688"/>
      <c r="C40" s="688"/>
      <c r="E40" s="689" t="s">
        <v>224</v>
      </c>
      <c r="F40" s="689"/>
      <c r="G40" s="690"/>
      <c r="H40" s="450" t="s">
        <v>403</v>
      </c>
      <c r="I40" s="691">
        <v>45254</v>
      </c>
      <c r="J40" s="691"/>
      <c r="K40" s="691">
        <v>45257</v>
      </c>
      <c r="L40" s="691"/>
      <c r="M40" s="691">
        <v>45258</v>
      </c>
      <c r="N40" s="691"/>
      <c r="O40" s="691">
        <v>45259</v>
      </c>
      <c r="P40" s="691"/>
      <c r="Q40" s="691">
        <v>45260</v>
      </c>
      <c r="R40" s="692"/>
      <c r="T40" s="286"/>
    </row>
    <row r="41" spans="2:20" ht="0.2" customHeight="1" thickTop="1" thickBot="1" x14ac:dyDescent="0.3">
      <c r="B41" s="688"/>
      <c r="C41" s="688"/>
      <c r="E41" s="341"/>
      <c r="F41" s="341"/>
      <c r="G41" s="341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451"/>
      <c r="T41" s="286"/>
    </row>
    <row r="42" spans="2:20" ht="30" customHeight="1" thickTop="1" thickBot="1" x14ac:dyDescent="0.3">
      <c r="B42" s="688"/>
      <c r="C42" s="688"/>
      <c r="E42" s="357" t="s">
        <v>453</v>
      </c>
      <c r="F42" s="707" t="s">
        <v>454</v>
      </c>
      <c r="G42" s="696"/>
      <c r="H42" s="447" t="s">
        <v>54</v>
      </c>
      <c r="I42" s="700" t="s">
        <v>167</v>
      </c>
      <c r="J42" s="700"/>
      <c r="K42" s="700" t="s">
        <v>168</v>
      </c>
      <c r="L42" s="700">
        <v>4</v>
      </c>
      <c r="M42" s="700" t="s">
        <v>169</v>
      </c>
      <c r="N42" s="700">
        <v>6</v>
      </c>
      <c r="O42" s="700" t="s">
        <v>170</v>
      </c>
      <c r="P42" s="700">
        <v>8</v>
      </c>
      <c r="Q42" s="700" t="s">
        <v>171</v>
      </c>
      <c r="R42" s="701">
        <v>0</v>
      </c>
      <c r="T42" s="286"/>
    </row>
    <row r="43" spans="2:20" ht="24.95" customHeight="1" thickTop="1" thickBot="1" x14ac:dyDescent="0.3">
      <c r="B43" s="688"/>
      <c r="C43" s="688"/>
      <c r="E43" s="710" t="s">
        <v>491</v>
      </c>
      <c r="F43" s="710"/>
      <c r="G43" s="711"/>
      <c r="H43" s="450" t="s">
        <v>403</v>
      </c>
      <c r="I43" s="691">
        <v>45313</v>
      </c>
      <c r="J43" s="691"/>
      <c r="K43" s="691">
        <v>45314</v>
      </c>
      <c r="L43" s="691"/>
      <c r="M43" s="691">
        <v>45315</v>
      </c>
      <c r="N43" s="691"/>
      <c r="O43" s="691">
        <v>45316</v>
      </c>
      <c r="P43" s="691"/>
      <c r="Q43" s="691">
        <v>45317</v>
      </c>
      <c r="R43" s="692"/>
      <c r="T43" s="286"/>
    </row>
    <row r="44" spans="2:20" ht="3" customHeight="1" thickTop="1" thickBot="1" x14ac:dyDescent="0.3">
      <c r="B44" s="688"/>
      <c r="C44" s="688"/>
      <c r="E44" s="343"/>
      <c r="F44" s="301"/>
      <c r="G44" s="301"/>
      <c r="H44" s="302"/>
      <c r="I44" s="303"/>
      <c r="J44" s="303"/>
      <c r="K44" s="301"/>
      <c r="L44" s="301"/>
      <c r="M44" s="301"/>
      <c r="N44" s="301"/>
      <c r="O44" s="301"/>
      <c r="P44" s="301"/>
      <c r="Q44" s="301"/>
      <c r="R44" s="344"/>
      <c r="T44" s="286"/>
    </row>
    <row r="45" spans="2:20" ht="4.5" customHeight="1" thickTop="1" thickBot="1" x14ac:dyDescent="0.4">
      <c r="B45" s="688"/>
      <c r="C45" s="688"/>
      <c r="E45" s="294"/>
      <c r="F45" s="295"/>
      <c r="G45" s="295"/>
      <c r="R45" s="286"/>
      <c r="T45" s="286"/>
    </row>
    <row r="46" spans="2:20" ht="15" customHeight="1" thickTop="1" thickBot="1" x14ac:dyDescent="0.3">
      <c r="B46" s="688"/>
      <c r="C46" s="688"/>
      <c r="E46" s="184" t="s">
        <v>289</v>
      </c>
      <c r="F46" s="184"/>
      <c r="G46" s="184"/>
      <c r="H46" s="184"/>
      <c r="I46" s="184"/>
      <c r="J46" s="183"/>
      <c r="K46" s="183"/>
      <c r="L46" s="183"/>
      <c r="M46" s="183"/>
      <c r="N46" s="183"/>
      <c r="O46" s="183"/>
      <c r="P46" s="183"/>
      <c r="Q46" s="183"/>
      <c r="R46" s="480"/>
      <c r="T46" s="286"/>
    </row>
    <row r="47" spans="2:20" s="10" customFormat="1" ht="15" customHeight="1" thickTop="1" thickBot="1" x14ac:dyDescent="0.3">
      <c r="B47" s="688"/>
      <c r="C47" s="688"/>
      <c r="E47" s="438"/>
      <c r="F47" s="438"/>
      <c r="G47" s="438"/>
      <c r="H47" s="438"/>
      <c r="I47" s="438"/>
      <c r="R47" s="300"/>
      <c r="T47" s="300"/>
    </row>
    <row r="48" spans="2:20" s="295" customFormat="1" ht="15" customHeight="1" thickTop="1" thickBot="1" x14ac:dyDescent="0.4">
      <c r="B48" s="688"/>
      <c r="C48" s="688"/>
      <c r="E48" s="474" t="s">
        <v>487</v>
      </c>
      <c r="F48" s="471"/>
      <c r="G48" s="471"/>
      <c r="H48" s="471"/>
      <c r="I48" s="471"/>
      <c r="J48" s="471"/>
      <c r="K48" s="471"/>
      <c r="L48" s="471"/>
      <c r="M48" s="471"/>
      <c r="N48" s="471"/>
      <c r="O48" s="472"/>
      <c r="P48" s="472"/>
      <c r="Q48" s="472"/>
      <c r="R48" s="473"/>
      <c r="S48" s="441"/>
      <c r="T48" s="290"/>
    </row>
    <row r="49" spans="2:24" s="295" customFormat="1" ht="15" customHeight="1" thickTop="1" thickBot="1" x14ac:dyDescent="0.4">
      <c r="B49" s="688"/>
      <c r="C49" s="688"/>
      <c r="E49" s="356" t="s">
        <v>455</v>
      </c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475"/>
      <c r="S49" s="442"/>
      <c r="T49" s="290"/>
      <c r="V49" s="346"/>
    </row>
    <row r="50" spans="2:24" ht="22.5" thickTop="1" thickBot="1" x14ac:dyDescent="0.4">
      <c r="B50" s="688"/>
      <c r="C50" s="688"/>
      <c r="E50" s="457" t="s">
        <v>484</v>
      </c>
      <c r="F50" s="347"/>
      <c r="G50" s="347"/>
      <c r="H50" s="348"/>
      <c r="I50" s="349"/>
      <c r="J50" s="349"/>
      <c r="K50" s="349"/>
      <c r="L50" s="349"/>
      <c r="M50" s="349"/>
      <c r="N50" s="349"/>
      <c r="O50" s="349"/>
      <c r="P50" s="349"/>
      <c r="Q50" s="349"/>
      <c r="R50" s="458"/>
      <c r="T50" s="286"/>
    </row>
    <row r="51" spans="2:24" ht="30" customHeight="1" thickTop="1" thickBot="1" x14ac:dyDescent="0.3">
      <c r="B51" s="688"/>
      <c r="C51" s="688"/>
      <c r="E51" s="708" t="s">
        <v>456</v>
      </c>
      <c r="F51" s="669"/>
      <c r="G51" s="686"/>
      <c r="H51" s="299" t="s">
        <v>54</v>
      </c>
      <c r="I51" s="671" t="s">
        <v>167</v>
      </c>
      <c r="J51" s="671"/>
      <c r="K51" s="671" t="s">
        <v>168</v>
      </c>
      <c r="L51" s="671">
        <v>4</v>
      </c>
      <c r="M51" s="671" t="s">
        <v>169</v>
      </c>
      <c r="N51" s="671">
        <v>6</v>
      </c>
      <c r="O51" s="671" t="s">
        <v>170</v>
      </c>
      <c r="P51" s="671">
        <v>8</v>
      </c>
      <c r="Q51" s="671" t="s">
        <v>171</v>
      </c>
      <c r="R51" s="709">
        <v>0</v>
      </c>
      <c r="T51" s="286"/>
    </row>
    <row r="52" spans="2:24" ht="24.75" customHeight="1" thickTop="1" thickBot="1" x14ac:dyDescent="0.3">
      <c r="B52" s="688"/>
      <c r="C52" s="688"/>
      <c r="E52" s="715" t="s">
        <v>230</v>
      </c>
      <c r="F52" s="689"/>
      <c r="G52" s="699"/>
      <c r="H52" s="459" t="s">
        <v>403</v>
      </c>
      <c r="I52" s="716">
        <v>44998</v>
      </c>
      <c r="J52" s="716"/>
      <c r="K52" s="716">
        <v>44999</v>
      </c>
      <c r="L52" s="716"/>
      <c r="M52" s="716">
        <v>45000</v>
      </c>
      <c r="N52" s="716"/>
      <c r="O52" s="716">
        <v>45001</v>
      </c>
      <c r="P52" s="716"/>
      <c r="Q52" s="716">
        <v>45002</v>
      </c>
      <c r="R52" s="717"/>
      <c r="T52" s="286"/>
      <c r="U52" s="286"/>
    </row>
    <row r="53" spans="2:24" ht="3" customHeight="1" thickTop="1" thickBot="1" x14ac:dyDescent="0.3">
      <c r="B53" s="688"/>
      <c r="C53" s="688"/>
      <c r="E53" s="460"/>
      <c r="F53" s="301"/>
      <c r="G53" s="301"/>
      <c r="H53" s="302"/>
      <c r="I53" s="303"/>
      <c r="J53" s="303"/>
      <c r="K53" s="301"/>
      <c r="L53" s="301"/>
      <c r="M53" s="301"/>
      <c r="N53" s="301"/>
      <c r="O53" s="301"/>
      <c r="P53" s="301"/>
      <c r="Q53" s="301"/>
      <c r="R53" s="461"/>
      <c r="T53" s="286"/>
    </row>
    <row r="54" spans="2:24" s="10" customFormat="1" ht="3" customHeight="1" thickTop="1" thickBot="1" x14ac:dyDescent="0.3">
      <c r="B54" s="688"/>
      <c r="C54" s="688"/>
      <c r="E54" s="462"/>
      <c r="F54" s="463"/>
      <c r="G54" s="463"/>
      <c r="H54" s="350"/>
      <c r="I54" s="351"/>
      <c r="J54" s="351"/>
      <c r="K54" s="351"/>
      <c r="L54" s="351"/>
      <c r="M54" s="351"/>
      <c r="N54" s="351"/>
      <c r="O54" s="351"/>
      <c r="P54" s="351"/>
      <c r="Q54" s="351"/>
      <c r="R54" s="464"/>
      <c r="T54" s="300"/>
    </row>
    <row r="55" spans="2:24" ht="39.950000000000003" customHeight="1" thickTop="1" thickBot="1" x14ac:dyDescent="0.3">
      <c r="B55" s="688"/>
      <c r="C55" s="688"/>
      <c r="E55" s="712" t="s">
        <v>485</v>
      </c>
      <c r="F55" s="713"/>
      <c r="G55" s="713"/>
      <c r="H55" s="713"/>
      <c r="I55" s="713"/>
      <c r="J55" s="713"/>
      <c r="K55" s="713"/>
      <c r="L55" s="713"/>
      <c r="M55" s="713"/>
      <c r="N55" s="713"/>
      <c r="O55" s="713"/>
      <c r="P55" s="713"/>
      <c r="Q55" s="713"/>
      <c r="R55" s="714"/>
      <c r="S55" s="443"/>
      <c r="T55" s="330"/>
    </row>
    <row r="56" spans="2:24" ht="30" customHeight="1" thickTop="1" thickBot="1" x14ac:dyDescent="0.3">
      <c r="B56" s="688"/>
      <c r="C56" s="688"/>
      <c r="E56" s="708" t="s">
        <v>456</v>
      </c>
      <c r="F56" s="669" t="s">
        <v>457</v>
      </c>
      <c r="G56" s="686"/>
      <c r="H56" s="299" t="s">
        <v>54</v>
      </c>
      <c r="I56" s="671" t="s">
        <v>167</v>
      </c>
      <c r="J56" s="671"/>
      <c r="K56" s="671" t="s">
        <v>168</v>
      </c>
      <c r="L56" s="671">
        <v>4</v>
      </c>
      <c r="M56" s="671" t="s">
        <v>169</v>
      </c>
      <c r="N56" s="671">
        <v>6</v>
      </c>
      <c r="O56" s="671" t="s">
        <v>170</v>
      </c>
      <c r="P56" s="671">
        <v>8</v>
      </c>
      <c r="Q56" s="671" t="s">
        <v>171</v>
      </c>
      <c r="R56" s="709">
        <v>0</v>
      </c>
      <c r="T56" s="286"/>
    </row>
    <row r="57" spans="2:24" ht="21" customHeight="1" thickTop="1" thickBot="1" x14ac:dyDescent="0.3">
      <c r="B57" s="688"/>
      <c r="C57" s="688"/>
      <c r="E57" s="715" t="s">
        <v>217</v>
      </c>
      <c r="F57" s="689"/>
      <c r="G57" s="690"/>
      <c r="H57" s="353" t="s">
        <v>403</v>
      </c>
      <c r="I57" s="716">
        <v>45033</v>
      </c>
      <c r="J57" s="716"/>
      <c r="K57" s="716">
        <v>45034</v>
      </c>
      <c r="L57" s="716"/>
      <c r="M57" s="716">
        <v>45035</v>
      </c>
      <c r="N57" s="716"/>
      <c r="O57" s="716">
        <v>45036</v>
      </c>
      <c r="P57" s="716"/>
      <c r="Q57" s="716">
        <v>45037</v>
      </c>
      <c r="R57" s="717"/>
      <c r="T57" s="286"/>
    </row>
    <row r="58" spans="2:24" ht="3" customHeight="1" thickTop="1" thickBot="1" x14ac:dyDescent="0.3">
      <c r="B58" s="688"/>
      <c r="C58" s="688"/>
      <c r="E58" s="460"/>
      <c r="F58" s="301"/>
      <c r="G58" s="301"/>
      <c r="H58" s="302"/>
      <c r="I58" s="303"/>
      <c r="J58" s="303"/>
      <c r="K58" s="301"/>
      <c r="L58" s="301"/>
      <c r="M58" s="301"/>
      <c r="N58" s="301"/>
      <c r="O58" s="301"/>
      <c r="P58" s="301"/>
      <c r="Q58" s="301"/>
      <c r="R58" s="461"/>
      <c r="T58" s="286"/>
    </row>
    <row r="59" spans="2:24" ht="3" customHeight="1" thickTop="1" thickBot="1" x14ac:dyDescent="0.3">
      <c r="B59" s="688"/>
      <c r="C59" s="688"/>
      <c r="E59" s="462"/>
      <c r="F59" s="463"/>
      <c r="G59" s="463"/>
      <c r="H59" s="350"/>
      <c r="I59" s="351"/>
      <c r="J59" s="351"/>
      <c r="K59" s="351"/>
      <c r="L59" s="351"/>
      <c r="M59" s="351"/>
      <c r="N59" s="351"/>
      <c r="O59" s="351"/>
      <c r="P59" s="351"/>
      <c r="Q59" s="351"/>
      <c r="R59" s="464"/>
      <c r="T59" s="286"/>
    </row>
    <row r="60" spans="2:24" ht="21" customHeight="1" thickTop="1" thickBot="1" x14ac:dyDescent="0.4">
      <c r="B60" s="688"/>
      <c r="C60" s="688"/>
      <c r="E60" s="457" t="s">
        <v>486</v>
      </c>
      <c r="F60" s="347"/>
      <c r="G60" s="347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465"/>
      <c r="S60" s="444"/>
      <c r="T60" s="325"/>
    </row>
    <row r="61" spans="2:24" ht="30" customHeight="1" thickTop="1" thickBot="1" x14ac:dyDescent="0.3">
      <c r="B61" s="688"/>
      <c r="C61" s="688"/>
      <c r="E61" s="722" t="s">
        <v>456</v>
      </c>
      <c r="F61" s="723" t="s">
        <v>457</v>
      </c>
      <c r="G61" s="724"/>
      <c r="H61" s="299" t="s">
        <v>54</v>
      </c>
      <c r="I61" s="673" t="s">
        <v>167</v>
      </c>
      <c r="J61" s="673"/>
      <c r="K61" s="673" t="s">
        <v>458</v>
      </c>
      <c r="L61" s="673">
        <v>4</v>
      </c>
      <c r="M61" s="673" t="s">
        <v>169</v>
      </c>
      <c r="N61" s="673">
        <v>6</v>
      </c>
      <c r="O61" s="673" t="s">
        <v>170</v>
      </c>
      <c r="P61" s="673">
        <v>8</v>
      </c>
      <c r="Q61" s="673" t="s">
        <v>171</v>
      </c>
      <c r="R61" s="725">
        <v>0</v>
      </c>
      <c r="T61" s="286"/>
      <c r="W61" s="437"/>
      <c r="X61" s="437"/>
    </row>
    <row r="62" spans="2:24" s="341" customFormat="1" ht="24.95" customHeight="1" thickTop="1" thickBot="1" x14ac:dyDescent="0.3">
      <c r="B62" s="688"/>
      <c r="C62" s="688"/>
      <c r="E62" s="718" t="s">
        <v>218</v>
      </c>
      <c r="F62" s="710"/>
      <c r="G62" s="711"/>
      <c r="H62" s="466" t="s">
        <v>403</v>
      </c>
      <c r="I62" s="719">
        <v>45061</v>
      </c>
      <c r="J62" s="720"/>
      <c r="K62" s="719">
        <v>45062</v>
      </c>
      <c r="L62" s="720"/>
      <c r="M62" s="719">
        <v>45063</v>
      </c>
      <c r="N62" s="720"/>
      <c r="O62" s="719">
        <v>45064</v>
      </c>
      <c r="P62" s="720"/>
      <c r="Q62" s="719">
        <v>45065</v>
      </c>
      <c r="R62" s="721"/>
      <c r="S62" s="16"/>
      <c r="T62" s="355"/>
      <c r="W62" s="436"/>
    </row>
    <row r="63" spans="2:24" ht="3" customHeight="1" thickTop="1" thickBot="1" x14ac:dyDescent="0.3">
      <c r="E63" s="343"/>
      <c r="F63" s="301"/>
      <c r="G63" s="301"/>
      <c r="H63" s="302"/>
      <c r="I63" s="303"/>
      <c r="J63" s="303"/>
      <c r="K63" s="301"/>
      <c r="L63" s="301"/>
      <c r="M63" s="301"/>
      <c r="N63" s="301"/>
      <c r="O63" s="301"/>
      <c r="P63" s="301"/>
      <c r="Q63" s="301">
        <v>3</v>
      </c>
      <c r="R63" s="344"/>
      <c r="T63" s="286"/>
    </row>
    <row r="64" spans="2:24" ht="3" customHeight="1" thickTop="1" x14ac:dyDescent="0.35">
      <c r="E64" s="294"/>
      <c r="F64" s="295"/>
      <c r="G64" s="295"/>
      <c r="R64" s="286"/>
      <c r="T64" s="286"/>
    </row>
    <row r="65" spans="5:20" ht="3.75" hidden="1" customHeight="1" x14ac:dyDescent="0.25">
      <c r="E65" s="289"/>
      <c r="R65" s="286"/>
      <c r="S65" s="443"/>
      <c r="T65" s="330"/>
    </row>
    <row r="66" spans="5:20" hidden="1" x14ac:dyDescent="0.25">
      <c r="E66" s="289"/>
      <c r="R66" s="286"/>
    </row>
    <row r="67" spans="5:20" hidden="1" x14ac:dyDescent="0.25">
      <c r="E67" s="289"/>
      <c r="R67" s="286"/>
    </row>
    <row r="68" spans="5:20" hidden="1" x14ac:dyDescent="0.25">
      <c r="E68" s="289"/>
      <c r="R68" s="286"/>
    </row>
    <row r="69" spans="5:20" hidden="1" x14ac:dyDescent="0.25">
      <c r="E69" s="289"/>
      <c r="R69" s="286"/>
    </row>
    <row r="70" spans="5:20" hidden="1" x14ac:dyDescent="0.25">
      <c r="E70" s="289"/>
      <c r="R70" s="286"/>
    </row>
    <row r="71" spans="5:20" hidden="1" x14ac:dyDescent="0.25">
      <c r="E71" s="289"/>
      <c r="R71" s="286"/>
    </row>
    <row r="72" spans="5:20" hidden="1" x14ac:dyDescent="0.25">
      <c r="E72" s="289"/>
      <c r="R72" s="286"/>
    </row>
    <row r="73" spans="5:20" hidden="1" x14ac:dyDescent="0.25">
      <c r="E73" s="289"/>
      <c r="R73" s="286"/>
    </row>
    <row r="74" spans="5:20" hidden="1" x14ac:dyDescent="0.25">
      <c r="E74" s="289"/>
      <c r="R74" s="286"/>
    </row>
    <row r="75" spans="5:20" hidden="1" x14ac:dyDescent="0.25">
      <c r="E75" s="289"/>
      <c r="R75" s="286"/>
    </row>
    <row r="76" spans="5:20" hidden="1" x14ac:dyDescent="0.25">
      <c r="E76" s="289"/>
      <c r="R76" s="286"/>
    </row>
    <row r="77" spans="5:20" hidden="1" x14ac:dyDescent="0.25">
      <c r="E77" s="289"/>
      <c r="R77" s="286"/>
    </row>
    <row r="78" spans="5:20" hidden="1" x14ac:dyDescent="0.25">
      <c r="E78" s="289"/>
      <c r="R78" s="286"/>
    </row>
    <row r="79" spans="5:20" hidden="1" x14ac:dyDescent="0.25">
      <c r="E79" s="289"/>
      <c r="R79" s="286"/>
    </row>
    <row r="80" spans="5:20" hidden="1" x14ac:dyDescent="0.25">
      <c r="E80" s="289"/>
      <c r="R80" s="286"/>
    </row>
    <row r="81" spans="5:18" hidden="1" x14ac:dyDescent="0.25">
      <c r="E81" s="289"/>
      <c r="R81" s="286"/>
    </row>
    <row r="82" spans="5:18" hidden="1" x14ac:dyDescent="0.25">
      <c r="E82" s="289"/>
      <c r="R82" s="286"/>
    </row>
    <row r="83" spans="5:18" hidden="1" x14ac:dyDescent="0.25">
      <c r="E83" s="289"/>
      <c r="R83" s="286"/>
    </row>
    <row r="84" spans="5:18" hidden="1" x14ac:dyDescent="0.25">
      <c r="E84" s="289"/>
      <c r="R84" s="286"/>
    </row>
    <row r="85" spans="5:18" hidden="1" x14ac:dyDescent="0.25">
      <c r="E85" s="289"/>
      <c r="R85" s="286"/>
    </row>
    <row r="86" spans="5:18" hidden="1" x14ac:dyDescent="0.25">
      <c r="E86" s="289"/>
      <c r="R86" s="286"/>
    </row>
    <row r="87" spans="5:18" hidden="1" x14ac:dyDescent="0.25">
      <c r="E87" s="289"/>
      <c r="R87" s="286"/>
    </row>
    <row r="88" spans="5:18" hidden="1" x14ac:dyDescent="0.25">
      <c r="E88" s="289"/>
      <c r="R88" s="286"/>
    </row>
    <row r="89" spans="5:18" hidden="1" x14ac:dyDescent="0.25">
      <c r="E89" s="289"/>
      <c r="R89" s="286"/>
    </row>
    <row r="90" spans="5:18" hidden="1" x14ac:dyDescent="0.25">
      <c r="E90" s="289"/>
      <c r="R90" s="286"/>
    </row>
    <row r="91" spans="5:18" hidden="1" x14ac:dyDescent="0.25">
      <c r="E91" s="289"/>
      <c r="R91" s="286"/>
    </row>
    <row r="92" spans="5:18" hidden="1" x14ac:dyDescent="0.25">
      <c r="E92" s="289"/>
      <c r="R92" s="286"/>
    </row>
    <row r="93" spans="5:18" hidden="1" x14ac:dyDescent="0.25">
      <c r="E93" s="289"/>
      <c r="R93" s="286"/>
    </row>
    <row r="94" spans="5:18" hidden="1" x14ac:dyDescent="0.25">
      <c r="E94" s="289"/>
      <c r="R94" s="286"/>
    </row>
    <row r="95" spans="5:18" hidden="1" x14ac:dyDescent="0.25">
      <c r="E95" s="289"/>
      <c r="R95" s="286"/>
    </row>
    <row r="96" spans="5:18" hidden="1" x14ac:dyDescent="0.25">
      <c r="E96" s="289"/>
      <c r="R96" s="286"/>
    </row>
    <row r="97" spans="5:18" hidden="1" x14ac:dyDescent="0.25">
      <c r="E97" s="289"/>
      <c r="R97" s="286"/>
    </row>
    <row r="98" spans="5:18" hidden="1" x14ac:dyDescent="0.25">
      <c r="E98" s="289"/>
      <c r="R98" s="286"/>
    </row>
    <row r="99" spans="5:18" hidden="1" x14ac:dyDescent="0.25">
      <c r="E99" s="289"/>
      <c r="R99" s="286"/>
    </row>
    <row r="100" spans="5:18" hidden="1" x14ac:dyDescent="0.25">
      <c r="E100" s="289"/>
      <c r="R100" s="286"/>
    </row>
    <row r="101" spans="5:18" hidden="1" x14ac:dyDescent="0.25">
      <c r="E101" s="329"/>
      <c r="F101" s="352"/>
      <c r="G101" s="352"/>
      <c r="H101" s="352"/>
      <c r="I101" s="352"/>
      <c r="J101" s="352"/>
      <c r="K101" s="352"/>
      <c r="L101" s="352"/>
      <c r="M101" s="352"/>
      <c r="N101" s="352"/>
      <c r="O101" s="352"/>
      <c r="P101" s="352"/>
      <c r="Q101" s="352"/>
      <c r="R101" s="330"/>
    </row>
    <row r="102" spans="5:18" ht="2.25" customHeight="1" x14ac:dyDescent="0.25"/>
    <row r="103" spans="5:18" ht="1.5" customHeight="1" x14ac:dyDescent="0.25"/>
  </sheetData>
  <sheetProtection algorithmName="SHA-512" hashValue="qIRbS1RQJzwzyKY1LWgu5OwW55BsvdhHrI/W+wPmi8qjEkIcBTcOFgngxjY5tpKcOHi4jfBTmEFK1rn/Kz36yw==" saltValue="hNeN+dAO1Ro85BzhKtjQFA==" spinCount="100000" sheet="1" objects="1" scenarios="1"/>
  <protectedRanges>
    <protectedRange algorithmName="SHA-512" hashValue="ZW2KbV8vj+bVuE6wq3N8Wthfdxu6zj/Cn7ShxVA1wdxu5Xlof0+ObrOAl3qUCDaWM/M5Moa/rD//oUYwklAuiA==" saltValue="IEnlmodf4ODjYHE5A2agPQ==" spinCount="100000" sqref="E22:R62" name="ICACali"/>
  </protectedRanges>
  <mergeCells count="115">
    <mergeCell ref="B8:C8"/>
    <mergeCell ref="B10:B21"/>
    <mergeCell ref="E1:R5"/>
    <mergeCell ref="E7:R7"/>
    <mergeCell ref="B1:C5"/>
    <mergeCell ref="B6:C7"/>
    <mergeCell ref="E62:G62"/>
    <mergeCell ref="I62:J62"/>
    <mergeCell ref="K62:L62"/>
    <mergeCell ref="M62:N62"/>
    <mergeCell ref="O62:P62"/>
    <mergeCell ref="Q62:R62"/>
    <mergeCell ref="E61:G61"/>
    <mergeCell ref="I61:J61"/>
    <mergeCell ref="K61:L61"/>
    <mergeCell ref="M61:N61"/>
    <mergeCell ref="O61:P61"/>
    <mergeCell ref="Q61:R61"/>
    <mergeCell ref="E57:G57"/>
    <mergeCell ref="I57:J57"/>
    <mergeCell ref="K57:L57"/>
    <mergeCell ref="M57:N57"/>
    <mergeCell ref="O57:P57"/>
    <mergeCell ref="Q57:R57"/>
    <mergeCell ref="E55:R55"/>
    <mergeCell ref="E56:G56"/>
    <mergeCell ref="I56:J56"/>
    <mergeCell ref="K56:L56"/>
    <mergeCell ref="M56:N56"/>
    <mergeCell ref="O56:P56"/>
    <mergeCell ref="Q56:R56"/>
    <mergeCell ref="E52:G52"/>
    <mergeCell ref="I52:J52"/>
    <mergeCell ref="K52:L52"/>
    <mergeCell ref="M52:N52"/>
    <mergeCell ref="O52:P52"/>
    <mergeCell ref="Q52:R52"/>
    <mergeCell ref="E51:G51"/>
    <mergeCell ref="I51:J51"/>
    <mergeCell ref="K51:L51"/>
    <mergeCell ref="M51:N51"/>
    <mergeCell ref="O51:P51"/>
    <mergeCell ref="Q51:R51"/>
    <mergeCell ref="E43:G43"/>
    <mergeCell ref="I43:J43"/>
    <mergeCell ref="K43:L43"/>
    <mergeCell ref="M43:N43"/>
    <mergeCell ref="O43:P43"/>
    <mergeCell ref="Q43:R43"/>
    <mergeCell ref="F42:G42"/>
    <mergeCell ref="I42:J42"/>
    <mergeCell ref="K42:L42"/>
    <mergeCell ref="M42:N42"/>
    <mergeCell ref="O42:P42"/>
    <mergeCell ref="Q42:R42"/>
    <mergeCell ref="E40:G40"/>
    <mergeCell ref="I40:J40"/>
    <mergeCell ref="K40:L40"/>
    <mergeCell ref="M40:N40"/>
    <mergeCell ref="O40:P40"/>
    <mergeCell ref="Q40:R40"/>
    <mergeCell ref="F39:G39"/>
    <mergeCell ref="I39:J39"/>
    <mergeCell ref="K39:L39"/>
    <mergeCell ref="M39:N39"/>
    <mergeCell ref="O39:P39"/>
    <mergeCell ref="Q39:R39"/>
    <mergeCell ref="E37:G37"/>
    <mergeCell ref="I37:J37"/>
    <mergeCell ref="K37:L37"/>
    <mergeCell ref="M37:N37"/>
    <mergeCell ref="O37:P37"/>
    <mergeCell ref="Q37:R37"/>
    <mergeCell ref="Q33:R33"/>
    <mergeCell ref="F27:G27"/>
    <mergeCell ref="I27:J27"/>
    <mergeCell ref="K27:L27"/>
    <mergeCell ref="M27:N27"/>
    <mergeCell ref="Q27:R27"/>
    <mergeCell ref="F36:G36"/>
    <mergeCell ref="I36:J36"/>
    <mergeCell ref="K36:L36"/>
    <mergeCell ref="M36:N36"/>
    <mergeCell ref="O36:P36"/>
    <mergeCell ref="Q36:R36"/>
    <mergeCell ref="E34:G34"/>
    <mergeCell ref="I34:J34"/>
    <mergeCell ref="K34:L34"/>
    <mergeCell ref="M34:N34"/>
    <mergeCell ref="O34:P34"/>
    <mergeCell ref="Q34:R34"/>
    <mergeCell ref="B22:C62"/>
    <mergeCell ref="E31:G31"/>
    <mergeCell ref="I31:J31"/>
    <mergeCell ref="K31:L31"/>
    <mergeCell ref="M31:N31"/>
    <mergeCell ref="O31:P31"/>
    <mergeCell ref="Q31:R31"/>
    <mergeCell ref="Q28:R28"/>
    <mergeCell ref="F30:G30"/>
    <mergeCell ref="I30:J30"/>
    <mergeCell ref="K30:L30"/>
    <mergeCell ref="M30:N30"/>
    <mergeCell ref="O30:P30"/>
    <mergeCell ref="Q30:R30"/>
    <mergeCell ref="E28:G28"/>
    <mergeCell ref="I28:J28"/>
    <mergeCell ref="K28:L28"/>
    <mergeCell ref="M28:N28"/>
    <mergeCell ref="O28:P28"/>
    <mergeCell ref="F33:G33"/>
    <mergeCell ref="I33:J33"/>
    <mergeCell ref="K33:L33"/>
    <mergeCell ref="M33:N33"/>
    <mergeCell ref="O33:P33"/>
  </mergeCells>
  <hyperlinks>
    <hyperlink ref="B10:B21" location="Anual!A1" display="Calendario" xr:uid="{95E5C6E4-1985-4423-B942-1DDC12418D0A}"/>
    <hyperlink ref="C10" location="Enero!A1" display="Enero" xr:uid="{5DD04128-EB86-4002-A9BC-2BD2C138830C}"/>
    <hyperlink ref="C11" location="Febrero!A1" display="Febrero" xr:uid="{2406C80A-BC15-46DA-A75B-6ADFF5284973}"/>
    <hyperlink ref="C12" location="Marzo!A1" display="Marzo" xr:uid="{B642AD45-D5B0-42AB-BACF-6E7816BF1DF6}"/>
    <hyperlink ref="C13" location="Abril!A1" display="Abril" xr:uid="{E3B25E94-8262-4636-9203-647E072CD98B}"/>
    <hyperlink ref="C14" location="Mayo!A1" display="Mayo" xr:uid="{3F432EDB-A13B-42C7-BE65-AD0A5E7AA6B1}"/>
    <hyperlink ref="C15" location="Junio!A1" display="Junio" xr:uid="{96A721C9-4E00-4228-9AB7-ADD196B85033}"/>
    <hyperlink ref="C16" location="Julio!A1" display="Julio" xr:uid="{76C41411-04AC-4FC3-BDF9-F6206B193AF1}"/>
    <hyperlink ref="C17" location="Agosto!A1" display="Agosto" xr:uid="{8B2FC602-1CA5-4090-BB05-8CBA9A3BB324}"/>
    <hyperlink ref="C18" location="Septiembre!A1" display="Septiembre" xr:uid="{38D1FBBC-7101-475B-91B9-637527ED8465}"/>
    <hyperlink ref="C19" location="Octubre!A1" display="Octubre" xr:uid="{B5C67E66-066D-4028-845F-6D171A273399}"/>
    <hyperlink ref="C20" location="Noviembre!A1" display="Noviembre" xr:uid="{BC1AB50D-9A70-4FDE-B8D5-CAE327E745C5}"/>
    <hyperlink ref="C21" location="Diciembre!A1" display="Diciembre" xr:uid="{57AAA6DF-DACE-4B3C-9A77-5556447EBA1A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EE4B6-20DA-4A53-BB3C-990BA2A8CD2C}">
  <dimension ref="A1:R140"/>
  <sheetViews>
    <sheetView showGridLines="0" showRowColHeaders="0" workbookViewId="0">
      <pane ySplit="8" topLeftCell="A36" activePane="bottomLeft" state="frozen"/>
      <selection pane="bottomLeft" activeCell="E48" sqref="E48"/>
    </sheetView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9.28515625" customWidth="1"/>
    <col min="6" max="7" width="11.42578125" customWidth="1"/>
    <col min="8" max="8" width="21.5703125" bestFit="1" customWidth="1"/>
    <col min="9" max="9" width="0.85546875" style="10" customWidth="1"/>
    <col min="10" max="16384" width="11.42578125" hidden="1"/>
  </cols>
  <sheetData>
    <row r="1" spans="2:18" x14ac:dyDescent="0.25">
      <c r="B1" s="546"/>
      <c r="C1" s="546"/>
    </row>
    <row r="2" spans="2:18" x14ac:dyDescent="0.25">
      <c r="B2" s="546"/>
      <c r="C2" s="546"/>
    </row>
    <row r="3" spans="2:18" x14ac:dyDescent="0.25">
      <c r="B3" s="546"/>
      <c r="C3" s="546"/>
    </row>
    <row r="4" spans="2:18" x14ac:dyDescent="0.25">
      <c r="B4" s="546"/>
      <c r="C4" s="546"/>
    </row>
    <row r="5" spans="2:18" x14ac:dyDescent="0.25">
      <c r="B5" s="546"/>
      <c r="C5" s="546"/>
    </row>
    <row r="6" spans="2:18" ht="18.75" x14ac:dyDescent="0.25">
      <c r="B6" s="546"/>
      <c r="C6" s="546"/>
      <c r="E6" s="729" t="s">
        <v>525</v>
      </c>
      <c r="F6" s="729"/>
      <c r="G6" s="729"/>
      <c r="H6" s="729"/>
    </row>
    <row r="7" spans="2:18" x14ac:dyDescent="0.25">
      <c r="B7" s="563" t="s">
        <v>47</v>
      </c>
      <c r="C7" s="563"/>
    </row>
    <row r="8" spans="2:18" ht="15.75" x14ac:dyDescent="0.25">
      <c r="B8" s="563"/>
      <c r="C8" s="563"/>
      <c r="E8" s="147" t="s">
        <v>540</v>
      </c>
      <c r="F8" s="147"/>
      <c r="G8" s="147"/>
      <c r="H8" s="147"/>
      <c r="I8" s="187"/>
      <c r="J8" s="147"/>
      <c r="K8" s="147"/>
      <c r="L8" s="147"/>
      <c r="M8" s="147"/>
      <c r="N8" s="147"/>
      <c r="O8" s="147"/>
      <c r="P8" s="147"/>
      <c r="Q8" s="147"/>
      <c r="R8" s="147"/>
    </row>
    <row r="9" spans="2:18" ht="15" customHeight="1" x14ac:dyDescent="0.25">
      <c r="B9" s="555" t="s">
        <v>67</v>
      </c>
      <c r="C9" s="556"/>
    </row>
    <row r="10" spans="2:18" ht="15" customHeight="1" x14ac:dyDescent="0.25">
      <c r="B10" s="173"/>
      <c r="C10" s="172" t="s">
        <v>51</v>
      </c>
      <c r="E10" s="479" t="s">
        <v>526</v>
      </c>
      <c r="F10" s="183"/>
      <c r="G10" s="183"/>
      <c r="H10" s="480"/>
    </row>
    <row r="11" spans="2:18" ht="15" customHeight="1" x14ac:dyDescent="0.25">
      <c r="B11" s="557" t="s">
        <v>52</v>
      </c>
      <c r="C11" s="159" t="s">
        <v>53</v>
      </c>
      <c r="H11" s="286"/>
    </row>
    <row r="12" spans="2:18" ht="15" customHeight="1" x14ac:dyDescent="0.35">
      <c r="B12" s="558"/>
      <c r="C12" s="160" t="s">
        <v>56</v>
      </c>
      <c r="E12" s="481" t="s">
        <v>524</v>
      </c>
      <c r="F12" s="482"/>
      <c r="G12" s="482"/>
      <c r="H12" s="483"/>
      <c r="I12" s="493"/>
      <c r="J12" s="288"/>
    </row>
    <row r="13" spans="2:18" ht="15" customHeight="1" x14ac:dyDescent="0.25">
      <c r="B13" s="558"/>
      <c r="C13" s="160" t="s">
        <v>57</v>
      </c>
      <c r="E13" s="339" t="s">
        <v>443</v>
      </c>
      <c r="F13" s="726" t="s">
        <v>444</v>
      </c>
      <c r="G13" s="727"/>
      <c r="H13" s="478" t="s">
        <v>522</v>
      </c>
      <c r="I13" s="304"/>
      <c r="J13" s="286"/>
    </row>
    <row r="14" spans="2:18" ht="15" customHeight="1" x14ac:dyDescent="0.25">
      <c r="B14" s="558"/>
      <c r="C14" s="160" t="s">
        <v>58</v>
      </c>
      <c r="E14" s="728" t="s">
        <v>528</v>
      </c>
      <c r="F14" s="684"/>
      <c r="G14" s="684"/>
      <c r="H14" s="685"/>
      <c r="I14" s="304"/>
      <c r="J14" s="286"/>
    </row>
    <row r="15" spans="2:18" ht="15" customHeight="1" x14ac:dyDescent="0.25">
      <c r="B15" s="558"/>
      <c r="C15" s="160" t="s">
        <v>59</v>
      </c>
      <c r="E15" s="339" t="s">
        <v>445</v>
      </c>
      <c r="F15" s="726" t="s">
        <v>446</v>
      </c>
      <c r="G15" s="727"/>
      <c r="H15" s="478" t="s">
        <v>522</v>
      </c>
      <c r="I15" s="304"/>
      <c r="J15" s="286"/>
    </row>
    <row r="16" spans="2:18" ht="15" customHeight="1" x14ac:dyDescent="0.25">
      <c r="B16" s="558"/>
      <c r="C16" s="160" t="s">
        <v>60</v>
      </c>
      <c r="E16" s="728" t="s">
        <v>529</v>
      </c>
      <c r="F16" s="684"/>
      <c r="G16" s="684"/>
      <c r="H16" s="685"/>
      <c r="I16" s="304"/>
      <c r="J16" s="286"/>
    </row>
    <row r="17" spans="2:10" ht="15" customHeight="1" x14ac:dyDescent="0.25">
      <c r="B17" s="558"/>
      <c r="C17" s="160" t="s">
        <v>61</v>
      </c>
      <c r="E17" s="339" t="s">
        <v>447</v>
      </c>
      <c r="F17" s="726" t="s">
        <v>448</v>
      </c>
      <c r="G17" s="727"/>
      <c r="H17" s="478" t="s">
        <v>522</v>
      </c>
      <c r="I17" s="304"/>
      <c r="J17" s="286"/>
    </row>
    <row r="18" spans="2:10" ht="15" customHeight="1" x14ac:dyDescent="0.25">
      <c r="B18" s="558"/>
      <c r="C18" s="160" t="s">
        <v>62</v>
      </c>
      <c r="E18" s="728" t="s">
        <v>531</v>
      </c>
      <c r="F18" s="684"/>
      <c r="G18" s="684"/>
      <c r="H18" s="685"/>
      <c r="I18" s="304"/>
      <c r="J18" s="286"/>
    </row>
    <row r="19" spans="2:10" ht="15" customHeight="1" x14ac:dyDescent="0.25">
      <c r="B19" s="558"/>
      <c r="C19" s="160" t="s">
        <v>63</v>
      </c>
      <c r="E19" s="339" t="s">
        <v>449</v>
      </c>
      <c r="F19" s="726" t="s">
        <v>450</v>
      </c>
      <c r="G19" s="727"/>
      <c r="H19" s="478" t="s">
        <v>522</v>
      </c>
      <c r="I19" s="304"/>
      <c r="J19" s="286"/>
    </row>
    <row r="20" spans="2:10" ht="15" customHeight="1" x14ac:dyDescent="0.25">
      <c r="B20" s="558"/>
      <c r="C20" s="160" t="s">
        <v>64</v>
      </c>
      <c r="E20" s="728" t="s">
        <v>530</v>
      </c>
      <c r="F20" s="684"/>
      <c r="G20" s="684"/>
      <c r="H20" s="685"/>
      <c r="I20" s="304"/>
      <c r="J20" s="286"/>
    </row>
    <row r="21" spans="2:10" ht="15" customHeight="1" x14ac:dyDescent="0.25">
      <c r="B21" s="558"/>
      <c r="C21" s="160" t="s">
        <v>65</v>
      </c>
      <c r="E21" s="339" t="s">
        <v>451</v>
      </c>
      <c r="F21" s="726" t="s">
        <v>452</v>
      </c>
      <c r="G21" s="727"/>
      <c r="H21" s="478" t="s">
        <v>522</v>
      </c>
      <c r="I21" s="304"/>
      <c r="J21" s="286"/>
    </row>
    <row r="22" spans="2:10" ht="15" customHeight="1" x14ac:dyDescent="0.25">
      <c r="B22" s="576"/>
      <c r="C22" s="161" t="s">
        <v>66</v>
      </c>
      <c r="E22" s="728" t="s">
        <v>533</v>
      </c>
      <c r="F22" s="684"/>
      <c r="G22" s="684"/>
      <c r="H22" s="685"/>
      <c r="I22" s="304"/>
      <c r="J22" s="286"/>
    </row>
    <row r="23" spans="2:10" ht="15" customHeight="1" x14ac:dyDescent="0.25">
      <c r="B23" s="736"/>
      <c r="C23" s="736"/>
      <c r="E23" s="339" t="s">
        <v>453</v>
      </c>
      <c r="F23" s="726" t="s">
        <v>459</v>
      </c>
      <c r="G23" s="727"/>
      <c r="H23" s="478" t="s">
        <v>522</v>
      </c>
      <c r="I23" s="304"/>
      <c r="J23" s="286"/>
    </row>
    <row r="24" spans="2:10" ht="15" customHeight="1" x14ac:dyDescent="0.25">
      <c r="B24" s="737"/>
      <c r="C24" s="737"/>
      <c r="E24" s="728" t="s">
        <v>534</v>
      </c>
      <c r="F24" s="684"/>
      <c r="G24" s="684"/>
      <c r="H24" s="685"/>
      <c r="I24" s="304"/>
      <c r="J24" s="286"/>
    </row>
    <row r="25" spans="2:10" ht="5.0999999999999996" customHeight="1" thickBot="1" x14ac:dyDescent="0.3">
      <c r="B25" s="737"/>
      <c r="C25" s="737"/>
      <c r="E25" s="301"/>
      <c r="F25" s="301"/>
      <c r="G25" s="301"/>
      <c r="H25" s="302"/>
      <c r="I25" s="304"/>
      <c r="J25" s="286"/>
    </row>
    <row r="26" spans="2:10" ht="5.0999999999999996" customHeight="1" thickTop="1" x14ac:dyDescent="0.35">
      <c r="B26" s="737"/>
      <c r="C26" s="737"/>
      <c r="E26" s="295"/>
      <c r="F26" s="295"/>
      <c r="G26" s="295"/>
      <c r="I26" s="304"/>
      <c r="J26" s="286"/>
    </row>
    <row r="27" spans="2:10" s="295" customFormat="1" ht="15" customHeight="1" x14ac:dyDescent="0.35">
      <c r="B27" s="737"/>
      <c r="C27" s="737"/>
      <c r="E27" s="484" t="s">
        <v>460</v>
      </c>
      <c r="F27" s="485"/>
      <c r="G27" s="485"/>
      <c r="H27" s="486"/>
      <c r="I27" s="494"/>
      <c r="J27" s="290"/>
    </row>
    <row r="28" spans="2:10" ht="32.25" customHeight="1" x14ac:dyDescent="0.25">
      <c r="B28" s="737"/>
      <c r="C28" s="737"/>
      <c r="E28" s="733" t="s">
        <v>527</v>
      </c>
      <c r="F28" s="734"/>
      <c r="G28" s="734"/>
      <c r="H28" s="735"/>
      <c r="I28" s="495"/>
      <c r="J28" s="325"/>
    </row>
    <row r="29" spans="2:10" ht="15" customHeight="1" x14ac:dyDescent="0.25">
      <c r="B29" s="737"/>
      <c r="C29" s="737"/>
      <c r="E29" s="339" t="s">
        <v>443</v>
      </c>
      <c r="F29" s="726" t="s">
        <v>444</v>
      </c>
      <c r="G29" s="727"/>
      <c r="H29" s="478" t="s">
        <v>522</v>
      </c>
      <c r="I29" s="304"/>
      <c r="J29" s="286"/>
    </row>
    <row r="30" spans="2:10" ht="15" customHeight="1" x14ac:dyDescent="0.25">
      <c r="B30" s="737"/>
      <c r="C30" s="737"/>
      <c r="E30" s="728" t="s">
        <v>528</v>
      </c>
      <c r="F30" s="684"/>
      <c r="G30" s="684"/>
      <c r="H30" s="685"/>
      <c r="I30" s="304"/>
      <c r="J30" s="286"/>
    </row>
    <row r="31" spans="2:10" ht="15" customHeight="1" x14ac:dyDescent="0.25">
      <c r="B31" s="737"/>
      <c r="C31" s="737"/>
      <c r="E31" s="339" t="s">
        <v>445</v>
      </c>
      <c r="F31" s="726" t="s">
        <v>446</v>
      </c>
      <c r="G31" s="727"/>
      <c r="H31" s="478" t="s">
        <v>522</v>
      </c>
      <c r="I31" s="304"/>
      <c r="J31" s="286"/>
    </row>
    <row r="32" spans="2:10" ht="15" customHeight="1" x14ac:dyDescent="0.25">
      <c r="B32" s="737"/>
      <c r="C32" s="737"/>
      <c r="E32" s="728" t="s">
        <v>529</v>
      </c>
      <c r="F32" s="684"/>
      <c r="G32" s="684"/>
      <c r="H32" s="685"/>
      <c r="I32" s="304"/>
      <c r="J32" s="286"/>
    </row>
    <row r="33" spans="2:10" ht="15" customHeight="1" x14ac:dyDescent="0.25">
      <c r="B33" s="737"/>
      <c r="C33" s="737"/>
      <c r="E33" s="339" t="s">
        <v>447</v>
      </c>
      <c r="F33" s="726" t="s">
        <v>448</v>
      </c>
      <c r="G33" s="727"/>
      <c r="H33" s="478" t="s">
        <v>522</v>
      </c>
      <c r="I33" s="304"/>
      <c r="J33" s="286"/>
    </row>
    <row r="34" spans="2:10" ht="15" customHeight="1" x14ac:dyDescent="0.25">
      <c r="B34" s="737"/>
      <c r="C34" s="737"/>
      <c r="E34" s="728" t="s">
        <v>531</v>
      </c>
      <c r="F34" s="684"/>
      <c r="G34" s="684"/>
      <c r="H34" s="685"/>
      <c r="I34" s="304"/>
      <c r="J34" s="286"/>
    </row>
    <row r="35" spans="2:10" ht="15" customHeight="1" x14ac:dyDescent="0.25">
      <c r="B35" s="737"/>
      <c r="C35" s="737"/>
      <c r="E35" s="339" t="s">
        <v>449</v>
      </c>
      <c r="F35" s="726" t="s">
        <v>450</v>
      </c>
      <c r="G35" s="727"/>
      <c r="H35" s="478" t="s">
        <v>522</v>
      </c>
      <c r="I35" s="304"/>
      <c r="J35" s="286"/>
    </row>
    <row r="36" spans="2:10" ht="15" customHeight="1" x14ac:dyDescent="0.25">
      <c r="B36" s="737"/>
      <c r="C36" s="737"/>
      <c r="E36" s="728" t="s">
        <v>532</v>
      </c>
      <c r="F36" s="684"/>
      <c r="G36" s="684"/>
      <c r="H36" s="685"/>
      <c r="I36" s="304"/>
      <c r="J36" s="286"/>
    </row>
    <row r="37" spans="2:10" ht="15" customHeight="1" x14ac:dyDescent="0.25">
      <c r="B37" s="737"/>
      <c r="C37" s="737"/>
      <c r="E37" s="339" t="s">
        <v>451</v>
      </c>
      <c r="F37" s="726" t="s">
        <v>452</v>
      </c>
      <c r="G37" s="727"/>
      <c r="H37" s="478" t="s">
        <v>522</v>
      </c>
      <c r="I37" s="304"/>
      <c r="J37" s="286"/>
    </row>
    <row r="38" spans="2:10" ht="15" customHeight="1" x14ac:dyDescent="0.25">
      <c r="B38" s="737"/>
      <c r="C38" s="737"/>
      <c r="E38" s="728" t="s">
        <v>523</v>
      </c>
      <c r="F38" s="684"/>
      <c r="G38" s="684"/>
      <c r="H38" s="685"/>
      <c r="I38" s="304"/>
      <c r="J38" s="286"/>
    </row>
    <row r="39" spans="2:10" ht="15" customHeight="1" x14ac:dyDescent="0.25">
      <c r="B39" s="737"/>
      <c r="C39" s="737"/>
      <c r="E39" s="339" t="s">
        <v>453</v>
      </c>
      <c r="F39" s="726" t="s">
        <v>461</v>
      </c>
      <c r="G39" s="727"/>
      <c r="H39" s="478" t="s">
        <v>522</v>
      </c>
      <c r="I39" s="304"/>
      <c r="J39" s="286"/>
    </row>
    <row r="40" spans="2:10" ht="15" customHeight="1" x14ac:dyDescent="0.25">
      <c r="B40" s="737"/>
      <c r="C40" s="737"/>
      <c r="E40" s="728" t="s">
        <v>523</v>
      </c>
      <c r="F40" s="684"/>
      <c r="G40" s="684"/>
      <c r="H40" s="685"/>
      <c r="I40" s="304"/>
      <c r="J40" s="286"/>
    </row>
    <row r="41" spans="2:10" ht="3.75" customHeight="1" thickBot="1" x14ac:dyDescent="0.3">
      <c r="B41" s="737"/>
      <c r="C41" s="737"/>
      <c r="E41" s="301"/>
      <c r="F41" s="301"/>
      <c r="G41" s="301"/>
      <c r="H41" s="302"/>
      <c r="I41" s="304"/>
      <c r="J41" s="286"/>
    </row>
    <row r="42" spans="2:10" ht="4.5" customHeight="1" thickTop="1" x14ac:dyDescent="0.35">
      <c r="B42" s="737"/>
      <c r="C42" s="737"/>
      <c r="E42" s="295"/>
      <c r="F42" s="295"/>
      <c r="G42" s="295"/>
      <c r="I42" s="304"/>
      <c r="J42" s="286"/>
    </row>
    <row r="43" spans="2:10" s="295" customFormat="1" ht="15" hidden="1" customHeight="1" x14ac:dyDescent="0.35">
      <c r="B43" s="737"/>
      <c r="C43" s="737"/>
      <c r="E43" s="358" t="s">
        <v>460</v>
      </c>
      <c r="F43" s="292"/>
      <c r="G43" s="292"/>
      <c r="H43" s="292"/>
      <c r="I43" s="496"/>
      <c r="J43" s="359"/>
    </row>
    <row r="44" spans="2:10" s="295" customFormat="1" ht="15" customHeight="1" x14ac:dyDescent="0.35">
      <c r="B44" s="737"/>
      <c r="C44" s="737"/>
      <c r="E44" s="487" t="s">
        <v>539</v>
      </c>
      <c r="F44" s="488"/>
      <c r="G44" s="488"/>
      <c r="H44" s="489"/>
      <c r="I44" s="496"/>
      <c r="J44" s="359"/>
    </row>
    <row r="45" spans="2:10" s="10" customFormat="1" ht="31.5" customHeight="1" x14ac:dyDescent="0.25">
      <c r="B45" s="737"/>
      <c r="C45" s="737"/>
      <c r="E45" s="730" t="s">
        <v>535</v>
      </c>
      <c r="F45" s="731"/>
      <c r="G45" s="731"/>
      <c r="H45" s="732"/>
      <c r="I45" s="360"/>
      <c r="J45" s="361"/>
    </row>
    <row r="46" spans="2:10" ht="15" customHeight="1" x14ac:dyDescent="0.25">
      <c r="B46" s="737"/>
      <c r="C46" s="737"/>
      <c r="E46" s="339" t="s">
        <v>456</v>
      </c>
      <c r="F46" s="726" t="s">
        <v>536</v>
      </c>
      <c r="G46" s="727"/>
      <c r="H46" s="478" t="s">
        <v>522</v>
      </c>
      <c r="I46" s="304"/>
      <c r="J46" s="286"/>
    </row>
    <row r="47" spans="2:10" ht="15" customHeight="1" x14ac:dyDescent="0.25">
      <c r="B47" s="737"/>
      <c r="C47" s="737"/>
      <c r="E47" s="728" t="s">
        <v>698</v>
      </c>
      <c r="F47" s="684"/>
      <c r="G47" s="684"/>
      <c r="H47" s="685"/>
      <c r="I47" s="304"/>
      <c r="J47" s="286"/>
    </row>
    <row r="48" spans="2:10" ht="3" customHeight="1" thickBot="1" x14ac:dyDescent="0.3">
      <c r="B48" s="737"/>
      <c r="C48" s="737"/>
      <c r="E48" s="301"/>
      <c r="F48" s="301"/>
      <c r="G48" s="301"/>
      <c r="H48" s="302"/>
      <c r="I48" s="304"/>
      <c r="J48" s="286"/>
    </row>
    <row r="49" spans="2:10" ht="4.5" customHeight="1" thickTop="1" x14ac:dyDescent="0.35">
      <c r="B49" s="737"/>
      <c r="C49" s="737"/>
      <c r="E49" s="295"/>
      <c r="F49" s="295"/>
      <c r="G49" s="295"/>
      <c r="I49" s="304"/>
      <c r="J49" s="286"/>
    </row>
    <row r="50" spans="2:10" ht="21" x14ac:dyDescent="0.35">
      <c r="B50" s="737"/>
      <c r="C50" s="737"/>
      <c r="E50" s="332" t="s">
        <v>460</v>
      </c>
      <c r="F50" s="490"/>
      <c r="G50" s="490"/>
      <c r="H50" s="491"/>
      <c r="I50" s="304"/>
      <c r="J50" s="286"/>
    </row>
    <row r="51" spans="2:10" x14ac:dyDescent="0.25">
      <c r="B51" s="737"/>
      <c r="C51" s="737"/>
      <c r="E51" s="492" t="s">
        <v>526</v>
      </c>
      <c r="F51" s="183"/>
      <c r="G51" s="183"/>
      <c r="H51" s="480"/>
      <c r="I51" s="304"/>
      <c r="J51" s="286"/>
    </row>
    <row r="52" spans="2:10" ht="36" customHeight="1" x14ac:dyDescent="0.25">
      <c r="B52" s="737"/>
      <c r="C52" s="737"/>
      <c r="E52" s="730" t="s">
        <v>538</v>
      </c>
      <c r="F52" s="731"/>
      <c r="G52" s="731"/>
      <c r="H52" s="732"/>
      <c r="I52" s="304"/>
      <c r="J52" s="286"/>
    </row>
    <row r="53" spans="2:10" ht="15" customHeight="1" x14ac:dyDescent="0.25">
      <c r="B53" s="737"/>
      <c r="C53" s="737"/>
      <c r="E53" s="339" t="s">
        <v>456</v>
      </c>
      <c r="F53" s="726" t="s">
        <v>537</v>
      </c>
      <c r="G53" s="727"/>
      <c r="H53" s="478" t="s">
        <v>522</v>
      </c>
      <c r="I53" s="304"/>
      <c r="J53" s="286"/>
    </row>
    <row r="54" spans="2:10" ht="15" customHeight="1" x14ac:dyDescent="0.25">
      <c r="B54" s="737"/>
      <c r="C54" s="737"/>
      <c r="E54" s="728" t="s">
        <v>534</v>
      </c>
      <c r="F54" s="684"/>
      <c r="G54" s="684"/>
      <c r="H54" s="685"/>
      <c r="I54" s="304"/>
      <c r="J54" s="286"/>
    </row>
    <row r="55" spans="2:10" ht="3.75" customHeight="1" thickBot="1" x14ac:dyDescent="0.3">
      <c r="E55" s="301"/>
      <c r="F55" s="301"/>
      <c r="G55" s="301"/>
      <c r="H55" s="302"/>
      <c r="I55" s="304"/>
      <c r="J55" s="286"/>
    </row>
    <row r="56" spans="2:10" ht="6" customHeight="1" thickTop="1" x14ac:dyDescent="0.35">
      <c r="E56" s="295"/>
      <c r="F56" s="295"/>
      <c r="G56" s="295"/>
      <c r="I56" s="304"/>
      <c r="J56" s="286"/>
    </row>
    <row r="57" spans="2:10" hidden="1" x14ac:dyDescent="0.25">
      <c r="I57" s="304"/>
      <c r="J57" s="286"/>
    </row>
    <row r="58" spans="2:10" hidden="1" x14ac:dyDescent="0.25">
      <c r="I58" s="304"/>
      <c r="J58" s="286"/>
    </row>
    <row r="59" spans="2:10" hidden="1" x14ac:dyDescent="0.25">
      <c r="I59" s="304"/>
      <c r="J59" s="286"/>
    </row>
    <row r="60" spans="2:10" hidden="1" x14ac:dyDescent="0.25">
      <c r="I60" s="304"/>
      <c r="J60" s="286"/>
    </row>
    <row r="61" spans="2:10" hidden="1" x14ac:dyDescent="0.25">
      <c r="I61" s="304"/>
      <c r="J61" s="286"/>
    </row>
    <row r="62" spans="2:10" hidden="1" x14ac:dyDescent="0.25">
      <c r="I62" s="304"/>
      <c r="J62" s="286"/>
    </row>
    <row r="63" spans="2:10" hidden="1" x14ac:dyDescent="0.25">
      <c r="I63" s="304"/>
      <c r="J63" s="286"/>
    </row>
    <row r="64" spans="2:10" hidden="1" x14ac:dyDescent="0.25">
      <c r="I64" s="304"/>
      <c r="J64" s="286"/>
    </row>
    <row r="65" spans="9:10" hidden="1" x14ac:dyDescent="0.25">
      <c r="I65" s="304"/>
      <c r="J65" s="286"/>
    </row>
    <row r="66" spans="9:10" hidden="1" x14ac:dyDescent="0.25">
      <c r="I66" s="304"/>
      <c r="J66" s="286"/>
    </row>
    <row r="67" spans="9:10" hidden="1" x14ac:dyDescent="0.25">
      <c r="I67" s="304"/>
      <c r="J67" s="286"/>
    </row>
    <row r="68" spans="9:10" hidden="1" x14ac:dyDescent="0.25">
      <c r="I68" s="304"/>
      <c r="J68" s="286"/>
    </row>
    <row r="69" spans="9:10" hidden="1" x14ac:dyDescent="0.25">
      <c r="I69" s="304"/>
      <c r="J69" s="286"/>
    </row>
    <row r="70" spans="9:10" hidden="1" x14ac:dyDescent="0.25">
      <c r="I70" s="304"/>
      <c r="J70" s="286"/>
    </row>
    <row r="71" spans="9:10" hidden="1" x14ac:dyDescent="0.25">
      <c r="I71" s="304"/>
      <c r="J71" s="286"/>
    </row>
    <row r="72" spans="9:10" hidden="1" x14ac:dyDescent="0.25">
      <c r="I72" s="304"/>
      <c r="J72" s="286"/>
    </row>
    <row r="73" spans="9:10" hidden="1" x14ac:dyDescent="0.25">
      <c r="I73" s="304"/>
      <c r="J73" s="286"/>
    </row>
    <row r="74" spans="9:10" hidden="1" x14ac:dyDescent="0.25">
      <c r="I74" s="304"/>
      <c r="J74" s="286"/>
    </row>
    <row r="75" spans="9:10" hidden="1" x14ac:dyDescent="0.25">
      <c r="I75" s="304"/>
      <c r="J75" s="286"/>
    </row>
    <row r="76" spans="9:10" hidden="1" x14ac:dyDescent="0.25">
      <c r="I76" s="304"/>
      <c r="J76" s="286"/>
    </row>
    <row r="77" spans="9:10" hidden="1" x14ac:dyDescent="0.25">
      <c r="I77" s="304"/>
      <c r="J77" s="286"/>
    </row>
    <row r="78" spans="9:10" hidden="1" x14ac:dyDescent="0.25">
      <c r="I78" s="304"/>
      <c r="J78" s="286"/>
    </row>
    <row r="79" spans="9:10" hidden="1" x14ac:dyDescent="0.25">
      <c r="I79" s="304"/>
      <c r="J79" s="286"/>
    </row>
    <row r="80" spans="9:10" hidden="1" x14ac:dyDescent="0.25">
      <c r="I80" s="304"/>
      <c r="J80" s="286"/>
    </row>
    <row r="81" spans="9:10" hidden="1" x14ac:dyDescent="0.25">
      <c r="I81" s="304"/>
      <c r="J81" s="286"/>
    </row>
    <row r="82" spans="9:10" hidden="1" x14ac:dyDescent="0.25">
      <c r="I82" s="304"/>
      <c r="J82" s="286"/>
    </row>
    <row r="83" spans="9:10" hidden="1" x14ac:dyDescent="0.25">
      <c r="I83" s="304"/>
      <c r="J83" s="286"/>
    </row>
    <row r="84" spans="9:10" hidden="1" x14ac:dyDescent="0.25">
      <c r="I84" s="304"/>
      <c r="J84" s="286"/>
    </row>
    <row r="85" spans="9:10" hidden="1" x14ac:dyDescent="0.25">
      <c r="I85" s="304"/>
      <c r="J85" s="286"/>
    </row>
    <row r="86" spans="9:10" hidden="1" x14ac:dyDescent="0.25">
      <c r="I86" s="304"/>
      <c r="J86" s="286"/>
    </row>
    <row r="87" spans="9:10" hidden="1" x14ac:dyDescent="0.25">
      <c r="I87" s="304"/>
      <c r="J87" s="286"/>
    </row>
    <row r="88" spans="9:10" hidden="1" x14ac:dyDescent="0.25">
      <c r="I88" s="304"/>
      <c r="J88" s="286"/>
    </row>
    <row r="89" spans="9:10" hidden="1" x14ac:dyDescent="0.25">
      <c r="I89" s="304"/>
      <c r="J89" s="286"/>
    </row>
    <row r="90" spans="9:10" hidden="1" x14ac:dyDescent="0.25">
      <c r="I90" s="304"/>
      <c r="J90" s="286"/>
    </row>
    <row r="91" spans="9:10" hidden="1" x14ac:dyDescent="0.25">
      <c r="I91" s="304"/>
      <c r="J91" s="286"/>
    </row>
    <row r="92" spans="9:10" hidden="1" x14ac:dyDescent="0.25">
      <c r="I92" s="304"/>
      <c r="J92" s="286"/>
    </row>
    <row r="93" spans="9:10" hidden="1" x14ac:dyDescent="0.25">
      <c r="I93" s="304"/>
      <c r="J93" s="286"/>
    </row>
    <row r="94" spans="9:10" hidden="1" x14ac:dyDescent="0.25">
      <c r="I94" s="304"/>
      <c r="J94" s="286"/>
    </row>
    <row r="95" spans="9:10" hidden="1" x14ac:dyDescent="0.25">
      <c r="I95" s="304"/>
      <c r="J95" s="286"/>
    </row>
    <row r="96" spans="9:10" hidden="1" x14ac:dyDescent="0.25">
      <c r="I96" s="304"/>
      <c r="J96" s="286"/>
    </row>
    <row r="97" spans="9:10" hidden="1" x14ac:dyDescent="0.25">
      <c r="I97" s="304"/>
      <c r="J97" s="286"/>
    </row>
    <row r="98" spans="9:10" hidden="1" x14ac:dyDescent="0.25">
      <c r="I98" s="304"/>
      <c r="J98" s="286"/>
    </row>
    <row r="99" spans="9:10" hidden="1" x14ac:dyDescent="0.25">
      <c r="I99" s="304"/>
      <c r="J99" s="286"/>
    </row>
    <row r="100" spans="9:10" hidden="1" x14ac:dyDescent="0.25">
      <c r="I100" s="304"/>
      <c r="J100" s="286"/>
    </row>
    <row r="101" spans="9:10" hidden="1" x14ac:dyDescent="0.25">
      <c r="I101" s="304"/>
      <c r="J101" s="286"/>
    </row>
    <row r="102" spans="9:10" hidden="1" x14ac:dyDescent="0.25">
      <c r="I102" s="304"/>
      <c r="J102" s="286"/>
    </row>
    <row r="103" spans="9:10" hidden="1" x14ac:dyDescent="0.25">
      <c r="I103" s="304"/>
      <c r="J103" s="286"/>
    </row>
    <row r="104" spans="9:10" hidden="1" x14ac:dyDescent="0.25">
      <c r="I104" s="304"/>
      <c r="J104" s="286"/>
    </row>
    <row r="105" spans="9:10" hidden="1" x14ac:dyDescent="0.25">
      <c r="I105" s="304"/>
      <c r="J105" s="286"/>
    </row>
    <row r="106" spans="9:10" hidden="1" x14ac:dyDescent="0.25">
      <c r="I106" s="304"/>
      <c r="J106" s="286"/>
    </row>
    <row r="107" spans="9:10" hidden="1" x14ac:dyDescent="0.25">
      <c r="I107" s="304"/>
      <c r="J107" s="286"/>
    </row>
    <row r="108" spans="9:10" hidden="1" x14ac:dyDescent="0.25">
      <c r="I108" s="304"/>
      <c r="J108" s="286"/>
    </row>
    <row r="109" spans="9:10" hidden="1" x14ac:dyDescent="0.25">
      <c r="I109" s="304"/>
      <c r="J109" s="286"/>
    </row>
    <row r="110" spans="9:10" hidden="1" x14ac:dyDescent="0.25">
      <c r="I110" s="304"/>
      <c r="J110" s="286"/>
    </row>
    <row r="111" spans="9:10" hidden="1" x14ac:dyDescent="0.25">
      <c r="I111" s="304"/>
      <c r="J111" s="286"/>
    </row>
    <row r="112" spans="9:10" hidden="1" x14ac:dyDescent="0.25">
      <c r="I112" s="304"/>
      <c r="J112" s="286"/>
    </row>
    <row r="113" spans="9:10" hidden="1" x14ac:dyDescent="0.25">
      <c r="I113" s="304"/>
      <c r="J113" s="286"/>
    </row>
    <row r="114" spans="9:10" hidden="1" x14ac:dyDescent="0.25">
      <c r="I114" s="304"/>
      <c r="J114" s="286"/>
    </row>
    <row r="115" spans="9:10" hidden="1" x14ac:dyDescent="0.25">
      <c r="I115" s="304"/>
      <c r="J115" s="286"/>
    </row>
    <row r="116" spans="9:10" hidden="1" x14ac:dyDescent="0.25">
      <c r="I116" s="304"/>
      <c r="J116" s="286"/>
    </row>
    <row r="117" spans="9:10" hidden="1" x14ac:dyDescent="0.25">
      <c r="I117" s="304"/>
      <c r="J117" s="286"/>
    </row>
    <row r="118" spans="9:10" hidden="1" x14ac:dyDescent="0.25">
      <c r="I118" s="304"/>
      <c r="J118" s="286"/>
    </row>
    <row r="119" spans="9:10" hidden="1" x14ac:dyDescent="0.25">
      <c r="I119" s="304"/>
      <c r="J119" s="286"/>
    </row>
    <row r="120" spans="9:10" hidden="1" x14ac:dyDescent="0.25">
      <c r="I120" s="304"/>
      <c r="J120" s="286"/>
    </row>
    <row r="121" spans="9:10" hidden="1" x14ac:dyDescent="0.25">
      <c r="I121" s="304"/>
      <c r="J121" s="286"/>
    </row>
    <row r="122" spans="9:10" hidden="1" x14ac:dyDescent="0.25">
      <c r="I122" s="304"/>
      <c r="J122" s="286"/>
    </row>
    <row r="123" spans="9:10" hidden="1" x14ac:dyDescent="0.25">
      <c r="I123" s="304"/>
      <c r="J123" s="286"/>
    </row>
    <row r="124" spans="9:10" hidden="1" x14ac:dyDescent="0.25">
      <c r="I124" s="304"/>
      <c r="J124" s="286"/>
    </row>
    <row r="125" spans="9:10" hidden="1" x14ac:dyDescent="0.25">
      <c r="I125" s="304"/>
      <c r="J125" s="286"/>
    </row>
    <row r="126" spans="9:10" hidden="1" x14ac:dyDescent="0.25">
      <c r="I126" s="304"/>
      <c r="J126" s="286"/>
    </row>
    <row r="127" spans="9:10" hidden="1" x14ac:dyDescent="0.25">
      <c r="I127" s="304"/>
      <c r="J127" s="286"/>
    </row>
    <row r="128" spans="9:10" hidden="1" x14ac:dyDescent="0.25">
      <c r="I128" s="304"/>
      <c r="J128" s="286"/>
    </row>
    <row r="129" spans="9:10" hidden="1" x14ac:dyDescent="0.25">
      <c r="I129" s="304"/>
      <c r="J129" s="286"/>
    </row>
    <row r="130" spans="9:10" hidden="1" x14ac:dyDescent="0.25">
      <c r="I130" s="304"/>
      <c r="J130" s="286"/>
    </row>
    <row r="131" spans="9:10" hidden="1" x14ac:dyDescent="0.25">
      <c r="I131" s="304"/>
      <c r="J131" s="286"/>
    </row>
    <row r="132" spans="9:10" hidden="1" x14ac:dyDescent="0.25">
      <c r="I132" s="304"/>
      <c r="J132" s="286"/>
    </row>
    <row r="133" spans="9:10" hidden="1" x14ac:dyDescent="0.25">
      <c r="I133" s="304"/>
      <c r="J133" s="286"/>
    </row>
    <row r="134" spans="9:10" hidden="1" x14ac:dyDescent="0.25">
      <c r="I134" s="304"/>
      <c r="J134" s="286"/>
    </row>
    <row r="135" spans="9:10" hidden="1" x14ac:dyDescent="0.25">
      <c r="I135" s="304"/>
      <c r="J135" s="286"/>
    </row>
    <row r="136" spans="9:10" hidden="1" x14ac:dyDescent="0.25">
      <c r="I136" s="304"/>
      <c r="J136" s="286"/>
    </row>
    <row r="137" spans="9:10" hidden="1" x14ac:dyDescent="0.25">
      <c r="I137" s="304"/>
      <c r="J137" s="286"/>
    </row>
    <row r="138" spans="9:10" hidden="1" x14ac:dyDescent="0.25">
      <c r="I138" s="304"/>
      <c r="J138" s="286"/>
    </row>
    <row r="139" spans="9:10" hidden="1" x14ac:dyDescent="0.25">
      <c r="I139" s="360"/>
      <c r="J139" s="330"/>
    </row>
    <row r="140" spans="9:10" ht="1.5" customHeight="1" x14ac:dyDescent="0.25"/>
  </sheetData>
  <sheetProtection algorithmName="SHA-512" hashValue="ZDV/D5anQ17igKLIH/En66hodv3sRoL7TA21/jKTxzOKzKOGi+qcJohudqSN0L+FDnWLyRzZ/qZZSSUoFlFk3A==" saltValue="+gKQF8lQHmO66umXstOxPQ==" spinCount="100000" sheet="1" objects="1" scenarios="1"/>
  <protectedRanges>
    <protectedRange algorithmName="SHA-512" hashValue="gHBQ+j5slt8khc83d0IO+lSXv20fazAuXsq/+B6Fspk5GmLXKxnworGaq1FqNmiDwnIVtcQB9QXNzu8+oDldtA==" saltValue="Krb7t8xSLNteBkSga7WOeA==" spinCount="100000" sqref="E8:H55" name="ICAbogotá"/>
  </protectedRanges>
  <mergeCells count="37">
    <mergeCell ref="E54:H54"/>
    <mergeCell ref="B9:C9"/>
    <mergeCell ref="B11:B22"/>
    <mergeCell ref="E30:H30"/>
    <mergeCell ref="E28:H28"/>
    <mergeCell ref="F29:G29"/>
    <mergeCell ref="E24:H24"/>
    <mergeCell ref="F23:G23"/>
    <mergeCell ref="E22:H22"/>
    <mergeCell ref="F21:G21"/>
    <mergeCell ref="E20:H20"/>
    <mergeCell ref="F19:G19"/>
    <mergeCell ref="E18:H18"/>
    <mergeCell ref="B23:C54"/>
    <mergeCell ref="F33:G33"/>
    <mergeCell ref="E32:H32"/>
    <mergeCell ref="F31:G31"/>
    <mergeCell ref="E52:H52"/>
    <mergeCell ref="F53:G53"/>
    <mergeCell ref="E38:H38"/>
    <mergeCell ref="F37:G37"/>
    <mergeCell ref="E36:H36"/>
    <mergeCell ref="F35:G35"/>
    <mergeCell ref="E34:H34"/>
    <mergeCell ref="E47:H47"/>
    <mergeCell ref="E45:H45"/>
    <mergeCell ref="F46:G46"/>
    <mergeCell ref="E40:H40"/>
    <mergeCell ref="F39:G39"/>
    <mergeCell ref="B1:C6"/>
    <mergeCell ref="F17:G17"/>
    <mergeCell ref="E16:H16"/>
    <mergeCell ref="F15:G15"/>
    <mergeCell ref="F13:G13"/>
    <mergeCell ref="B7:C8"/>
    <mergeCell ref="E6:H6"/>
    <mergeCell ref="E14:H14"/>
  </mergeCells>
  <hyperlinks>
    <hyperlink ref="B11:B22" location="Anual!A1" display="Calendario" xr:uid="{70D90554-B463-4AA8-849E-029AF154719B}"/>
    <hyperlink ref="C11" location="Enero!A1" display="Enero" xr:uid="{CF8335F5-9E9B-4729-82F4-1F11CD9C8EE5}"/>
    <hyperlink ref="C12" location="Febrero!A1" display="Febrero" xr:uid="{6611FDD2-F4DE-40A1-A887-8726C21CC10E}"/>
    <hyperlink ref="C13" location="Marzo!A1" display="Marzo" xr:uid="{CBD3F7B2-DA10-46B9-9874-7BA220C8F37C}"/>
    <hyperlink ref="C14" location="Abril!A1" display="Abril" xr:uid="{B7F5E90A-3C8C-4399-A5E3-5579472F47BD}"/>
    <hyperlink ref="C15" location="Mayo!A1" display="Mayo" xr:uid="{0275EC40-0EF0-49D0-9E60-920017211C3D}"/>
    <hyperlink ref="C16" location="Junio!A1" display="Junio" xr:uid="{83DAAAAA-C107-4F68-81AB-6A9511FD718A}"/>
    <hyperlink ref="C17" location="Julio!A1" display="Julio" xr:uid="{9BF7D595-B411-4CA0-8766-7333D742A4DD}"/>
    <hyperlink ref="C18" location="Agosto!A1" display="Agosto" xr:uid="{F6EBF3C7-C323-4F89-9F1A-346E59B88366}"/>
    <hyperlink ref="C19" location="Septiembre!A1" display="Septiembre" xr:uid="{B78D16D1-9151-46BC-B028-496A0782482B}"/>
    <hyperlink ref="C20" location="Octubre!A1" display="Octubre" xr:uid="{A7A2BB37-6B20-46F7-8787-7E7A532A4DCD}"/>
    <hyperlink ref="C21" location="Noviembre!A1" display="Noviembre" xr:uid="{4F93776C-3AFF-4B96-95F8-F07AE85E6FFD}"/>
    <hyperlink ref="C22" location="Diciembre!A1" display="Diciembre" xr:uid="{28DDF0B9-E208-4192-B844-DD61FC15887F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8B6C3-F4D8-44AE-81DC-C66523EF193D}">
  <dimension ref="A1:AA181"/>
  <sheetViews>
    <sheetView showGridLines="0" showRowColHeaders="0" workbookViewId="0">
      <pane ySplit="7" topLeftCell="A37" activePane="bottomLeft" state="frozen"/>
      <selection pane="bottomLeft" activeCell="P59" sqref="P59"/>
    </sheetView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4.140625" customWidth="1"/>
    <col min="6" max="6" width="11.42578125" customWidth="1"/>
    <col min="7" max="7" width="10.5703125" customWidth="1"/>
    <col min="8" max="8" width="18.7109375" customWidth="1"/>
    <col min="9" max="18" width="5.7109375" customWidth="1"/>
    <col min="19" max="19" width="1" style="10" customWidth="1"/>
    <col min="20" max="27" width="0" hidden="1" customWidth="1"/>
    <col min="28" max="16384" width="11.42578125" hidden="1"/>
  </cols>
  <sheetData>
    <row r="1" spans="2:18" x14ac:dyDescent="0.25"/>
    <row r="2" spans="2:18" x14ac:dyDescent="0.25">
      <c r="B2" s="546"/>
      <c r="C2" s="546"/>
    </row>
    <row r="3" spans="2:18" x14ac:dyDescent="0.25">
      <c r="B3" s="546"/>
      <c r="C3" s="546"/>
    </row>
    <row r="4" spans="2:18" x14ac:dyDescent="0.25">
      <c r="B4" s="546"/>
      <c r="C4" s="546"/>
    </row>
    <row r="5" spans="2:18" x14ac:dyDescent="0.25">
      <c r="B5" s="546"/>
      <c r="C5" s="546"/>
    </row>
    <row r="6" spans="2:18" x14ac:dyDescent="0.25">
      <c r="B6" s="563" t="s">
        <v>47</v>
      </c>
      <c r="C6" s="563"/>
    </row>
    <row r="7" spans="2:18" x14ac:dyDescent="0.25">
      <c r="B7" s="563"/>
      <c r="C7" s="563"/>
    </row>
    <row r="8" spans="2:18" ht="18.75" x14ac:dyDescent="0.25">
      <c r="B8" s="555" t="s">
        <v>67</v>
      </c>
      <c r="C8" s="556"/>
      <c r="E8" s="729" t="s">
        <v>525</v>
      </c>
      <c r="F8" s="729"/>
      <c r="G8" s="729"/>
      <c r="H8" s="729"/>
      <c r="I8" s="729"/>
      <c r="J8" s="729"/>
      <c r="K8" s="729"/>
      <c r="L8" s="729"/>
      <c r="M8" s="729"/>
      <c r="N8" s="729"/>
      <c r="O8" s="729"/>
      <c r="P8" s="729"/>
      <c r="Q8" s="729"/>
      <c r="R8" s="729"/>
    </row>
    <row r="9" spans="2:18" x14ac:dyDescent="0.25">
      <c r="B9" s="173"/>
      <c r="C9" s="172" t="s">
        <v>51</v>
      </c>
    </row>
    <row r="10" spans="2:18" ht="15.75" x14ac:dyDescent="0.25">
      <c r="B10" s="557" t="s">
        <v>52</v>
      </c>
      <c r="C10" s="159" t="s">
        <v>53</v>
      </c>
      <c r="E10" s="756" t="s">
        <v>579</v>
      </c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</row>
    <row r="11" spans="2:18" ht="15" customHeight="1" x14ac:dyDescent="0.25">
      <c r="B11" s="558"/>
      <c r="C11" s="160" t="s">
        <v>56</v>
      </c>
      <c r="E11" s="546"/>
      <c r="F11" s="546"/>
      <c r="G11" s="546"/>
      <c r="H11" s="546"/>
      <c r="I11" s="546"/>
      <c r="J11" s="546"/>
      <c r="K11" s="546"/>
      <c r="L11" s="546"/>
      <c r="M11" s="546"/>
      <c r="N11" s="546"/>
      <c r="O11" s="546"/>
      <c r="P11" s="546"/>
      <c r="Q11" s="546"/>
      <c r="R11" s="546"/>
    </row>
    <row r="12" spans="2:18" x14ac:dyDescent="0.25">
      <c r="B12" s="558"/>
      <c r="C12" s="160" t="s">
        <v>57</v>
      </c>
      <c r="E12" s="546"/>
      <c r="F12" s="546"/>
      <c r="G12" s="546"/>
      <c r="H12" s="546"/>
      <c r="I12" s="546"/>
      <c r="J12" s="546"/>
      <c r="K12" s="546"/>
      <c r="L12" s="546"/>
      <c r="M12" s="546"/>
      <c r="N12" s="546"/>
      <c r="O12" s="546"/>
      <c r="P12" s="546"/>
      <c r="Q12" s="546"/>
      <c r="R12" s="546"/>
    </row>
    <row r="13" spans="2:18" x14ac:dyDescent="0.25">
      <c r="B13" s="558"/>
      <c r="C13" s="160" t="s">
        <v>58</v>
      </c>
      <c r="E13" s="546"/>
      <c r="F13" s="546"/>
      <c r="G13" s="546"/>
      <c r="H13" s="546"/>
      <c r="I13" s="546"/>
      <c r="J13" s="546"/>
      <c r="K13" s="546"/>
      <c r="L13" s="546"/>
      <c r="M13" s="546"/>
      <c r="N13" s="546"/>
      <c r="O13" s="546"/>
      <c r="P13" s="546"/>
      <c r="Q13" s="546"/>
      <c r="R13" s="546"/>
    </row>
    <row r="14" spans="2:18" x14ac:dyDescent="0.25">
      <c r="B14" s="558"/>
      <c r="C14" s="160" t="s">
        <v>59</v>
      </c>
      <c r="E14" s="546"/>
      <c r="F14" s="546"/>
      <c r="G14" s="546"/>
      <c r="H14" s="546"/>
      <c r="I14" s="546"/>
      <c r="J14" s="546"/>
      <c r="K14" s="546"/>
      <c r="L14" s="546"/>
      <c r="M14" s="546"/>
      <c r="N14" s="546"/>
      <c r="O14" s="546"/>
      <c r="P14" s="546"/>
      <c r="Q14" s="546"/>
      <c r="R14" s="546"/>
    </row>
    <row r="15" spans="2:18" x14ac:dyDescent="0.25">
      <c r="B15" s="558"/>
      <c r="C15" s="160" t="s">
        <v>60</v>
      </c>
      <c r="E15" s="546"/>
      <c r="F15" s="546"/>
      <c r="G15" s="546"/>
      <c r="H15" s="546"/>
      <c r="I15" s="546"/>
      <c r="J15" s="546"/>
      <c r="K15" s="546"/>
      <c r="L15" s="546"/>
      <c r="M15" s="546"/>
      <c r="N15" s="546"/>
      <c r="O15" s="546"/>
      <c r="P15" s="546"/>
      <c r="Q15" s="546"/>
      <c r="R15" s="546"/>
    </row>
    <row r="16" spans="2:18" x14ac:dyDescent="0.25">
      <c r="B16" s="558"/>
      <c r="C16" s="160" t="s">
        <v>61</v>
      </c>
      <c r="E16" s="546"/>
      <c r="F16" s="546"/>
      <c r="G16" s="546"/>
      <c r="H16" s="546"/>
      <c r="I16" s="546"/>
      <c r="J16" s="546"/>
      <c r="K16" s="546"/>
      <c r="L16" s="546"/>
      <c r="M16" s="546"/>
      <c r="N16" s="546"/>
      <c r="O16" s="546"/>
      <c r="P16" s="546"/>
      <c r="Q16" s="546"/>
      <c r="R16" s="546"/>
    </row>
    <row r="17" spans="2:26" x14ac:dyDescent="0.25">
      <c r="B17" s="558"/>
      <c r="C17" s="160" t="s">
        <v>62</v>
      </c>
      <c r="E17" s="546"/>
      <c r="F17" s="546"/>
      <c r="G17" s="546"/>
      <c r="H17" s="546"/>
      <c r="I17" s="546"/>
      <c r="J17" s="546"/>
      <c r="K17" s="546"/>
      <c r="L17" s="546"/>
      <c r="M17" s="546"/>
      <c r="N17" s="546"/>
      <c r="O17" s="546"/>
      <c r="P17" s="546"/>
      <c r="Q17" s="546"/>
      <c r="R17" s="546"/>
    </row>
    <row r="18" spans="2:26" x14ac:dyDescent="0.25">
      <c r="B18" s="558"/>
      <c r="C18" s="160" t="s">
        <v>63</v>
      </c>
      <c r="E18" s="546"/>
      <c r="F18" s="546"/>
      <c r="G18" s="546"/>
      <c r="H18" s="546"/>
      <c r="I18" s="546"/>
      <c r="J18" s="546"/>
      <c r="K18" s="546"/>
      <c r="L18" s="546"/>
      <c r="M18" s="546"/>
      <c r="N18" s="546"/>
      <c r="O18" s="546"/>
      <c r="P18" s="546"/>
      <c r="Q18" s="546"/>
      <c r="R18" s="546"/>
    </row>
    <row r="19" spans="2:26" ht="15" customHeight="1" x14ac:dyDescent="0.25">
      <c r="B19" s="558"/>
      <c r="C19" s="160" t="s">
        <v>64</v>
      </c>
      <c r="E19" s="546"/>
      <c r="F19" s="546"/>
      <c r="G19" s="546"/>
      <c r="H19" s="546"/>
      <c r="I19" s="546"/>
      <c r="J19" s="546"/>
      <c r="K19" s="546"/>
      <c r="L19" s="546"/>
      <c r="M19" s="546"/>
      <c r="N19" s="546"/>
      <c r="O19" s="546"/>
      <c r="P19" s="546"/>
      <c r="Q19" s="546"/>
      <c r="R19" s="546"/>
    </row>
    <row r="20" spans="2:26" ht="15" customHeight="1" x14ac:dyDescent="0.25">
      <c r="B20" s="558"/>
      <c r="C20" s="160" t="s">
        <v>65</v>
      </c>
      <c r="E20" s="757" t="s">
        <v>462</v>
      </c>
      <c r="F20" s="758"/>
      <c r="G20" s="758"/>
      <c r="H20" s="758"/>
      <c r="I20" s="758"/>
      <c r="J20" s="758"/>
      <c r="K20" s="758"/>
      <c r="L20" s="758"/>
      <c r="M20" s="759"/>
      <c r="N20" s="306"/>
      <c r="O20" s="307"/>
      <c r="P20" s="307"/>
      <c r="Q20" s="307"/>
      <c r="R20" s="307"/>
    </row>
    <row r="21" spans="2:26" ht="15" customHeight="1" thickBot="1" x14ac:dyDescent="0.35">
      <c r="B21" s="558"/>
      <c r="C21" s="160" t="s">
        <v>66</v>
      </c>
      <c r="E21" s="364" t="s">
        <v>545</v>
      </c>
      <c r="F21" s="365"/>
      <c r="G21" s="365"/>
      <c r="H21" s="366"/>
      <c r="I21" s="366"/>
      <c r="J21" s="366"/>
      <c r="K21" s="367"/>
      <c r="L21" s="367"/>
      <c r="M21" s="367"/>
      <c r="N21" s="367"/>
      <c r="O21" s="367"/>
      <c r="P21" s="367"/>
      <c r="Q21" s="367"/>
      <c r="R21" s="367"/>
    </row>
    <row r="22" spans="2:26" ht="27.95" customHeight="1" thickTop="1" thickBot="1" x14ac:dyDescent="0.3">
      <c r="B22" s="618"/>
      <c r="C22" s="618"/>
      <c r="E22" s="743" t="s">
        <v>546</v>
      </c>
      <c r="F22" s="743"/>
      <c r="G22" s="744"/>
      <c r="H22" s="368" t="s">
        <v>54</v>
      </c>
      <c r="I22" s="369">
        <v>0</v>
      </c>
      <c r="J22" s="369">
        <v>9</v>
      </c>
      <c r="K22" s="369">
        <v>8</v>
      </c>
      <c r="L22" s="369">
        <v>7</v>
      </c>
      <c r="M22" s="369">
        <v>6</v>
      </c>
      <c r="N22" s="369">
        <v>5</v>
      </c>
      <c r="O22" s="369">
        <v>4</v>
      </c>
      <c r="P22" s="369">
        <v>3</v>
      </c>
      <c r="Q22" s="369">
        <v>2</v>
      </c>
      <c r="R22" s="369">
        <v>1</v>
      </c>
    </row>
    <row r="23" spans="2:26" ht="15" customHeight="1" thickTop="1" thickBot="1" x14ac:dyDescent="0.3">
      <c r="B23" s="618"/>
      <c r="C23" s="618"/>
      <c r="E23" s="740" t="s">
        <v>217</v>
      </c>
      <c r="F23" s="740"/>
      <c r="G23" s="741"/>
      <c r="H23" s="370" t="s">
        <v>403</v>
      </c>
      <c r="I23" s="371">
        <v>17</v>
      </c>
      <c r="J23" s="371">
        <v>18</v>
      </c>
      <c r="K23" s="371">
        <v>19</v>
      </c>
      <c r="L23" s="371">
        <v>20</v>
      </c>
      <c r="M23" s="371">
        <v>21</v>
      </c>
      <c r="N23" s="371">
        <v>24</v>
      </c>
      <c r="O23" s="371">
        <v>25</v>
      </c>
      <c r="P23" s="371">
        <v>26</v>
      </c>
      <c r="Q23" s="371">
        <v>27</v>
      </c>
      <c r="R23" s="371">
        <v>28</v>
      </c>
      <c r="T23" s="372"/>
    </row>
    <row r="24" spans="2:26" ht="3" customHeight="1" thickTop="1" thickBot="1" x14ac:dyDescent="0.3">
      <c r="B24" s="618"/>
      <c r="C24" s="618"/>
      <c r="E24" s="373"/>
      <c r="F24" s="373"/>
      <c r="G24" s="374"/>
      <c r="H24" s="375"/>
      <c r="I24" s="303"/>
      <c r="J24" s="303"/>
      <c r="K24" s="303"/>
      <c r="L24" s="303"/>
      <c r="M24" s="303"/>
      <c r="N24" s="303"/>
      <c r="O24" s="303"/>
      <c r="P24" s="303"/>
      <c r="Q24" s="303"/>
      <c r="R24" s="303"/>
    </row>
    <row r="25" spans="2:26" ht="3" customHeight="1" thickTop="1" thickBot="1" x14ac:dyDescent="0.3">
      <c r="B25" s="618"/>
      <c r="C25" s="618"/>
      <c r="E25" s="362"/>
      <c r="F25" s="341"/>
      <c r="G25" s="341"/>
      <c r="W25" s="337"/>
    </row>
    <row r="26" spans="2:26" ht="15" customHeight="1" thickTop="1" thickBot="1" x14ac:dyDescent="0.35">
      <c r="B26" s="618"/>
      <c r="C26" s="618"/>
      <c r="E26" s="364" t="s">
        <v>560</v>
      </c>
      <c r="F26" s="365"/>
      <c r="G26" s="365"/>
      <c r="H26" s="366"/>
      <c r="I26" s="366"/>
      <c r="J26" s="366"/>
      <c r="K26" s="367"/>
      <c r="L26" s="367"/>
      <c r="M26" s="367"/>
      <c r="N26" s="367"/>
      <c r="O26" s="367"/>
      <c r="P26" s="367"/>
      <c r="Q26" s="367"/>
      <c r="R26" s="367"/>
      <c r="Z26" s="372"/>
    </row>
    <row r="27" spans="2:26" ht="38.25" customHeight="1" thickTop="1" thickBot="1" x14ac:dyDescent="0.3">
      <c r="B27" s="618"/>
      <c r="C27" s="618"/>
      <c r="E27" s="748" t="s">
        <v>547</v>
      </c>
      <c r="F27" s="743"/>
      <c r="G27" s="744"/>
      <c r="H27" s="738" t="s">
        <v>548</v>
      </c>
      <c r="I27" s="743"/>
      <c r="J27" s="743"/>
      <c r="K27" s="743"/>
      <c r="L27" s="754"/>
      <c r="M27" s="748" t="s">
        <v>562</v>
      </c>
      <c r="N27" s="743"/>
      <c r="O27" s="743"/>
      <c r="P27" s="743"/>
      <c r="Q27" s="743"/>
      <c r="R27" s="744"/>
    </row>
    <row r="28" spans="2:26" ht="15" customHeight="1" thickTop="1" thickBot="1" x14ac:dyDescent="0.3">
      <c r="B28" s="618"/>
      <c r="C28" s="618"/>
      <c r="E28" s="745" t="s">
        <v>549</v>
      </c>
      <c r="F28" s="746"/>
      <c r="G28" s="747"/>
      <c r="H28" s="751" t="s">
        <v>59</v>
      </c>
      <c r="I28" s="752"/>
      <c r="J28" s="752"/>
      <c r="K28" s="752"/>
      <c r="L28" s="753"/>
      <c r="M28" s="746" t="s">
        <v>550</v>
      </c>
      <c r="N28" s="746"/>
      <c r="O28" s="746"/>
      <c r="P28" s="746"/>
      <c r="Q28" s="746"/>
      <c r="R28" s="746"/>
    </row>
    <row r="29" spans="2:26" ht="15" customHeight="1" thickTop="1" thickBot="1" x14ac:dyDescent="0.3">
      <c r="B29" s="618"/>
      <c r="C29" s="618"/>
      <c r="E29" s="745" t="s">
        <v>551</v>
      </c>
      <c r="F29" s="746"/>
      <c r="G29" s="747"/>
      <c r="H29" s="751" t="s">
        <v>61</v>
      </c>
      <c r="I29" s="752"/>
      <c r="J29" s="752"/>
      <c r="K29" s="752"/>
      <c r="L29" s="753"/>
      <c r="M29" s="746" t="s">
        <v>552</v>
      </c>
      <c r="N29" s="746"/>
      <c r="O29" s="746"/>
      <c r="P29" s="746"/>
      <c r="Q29" s="746"/>
      <c r="R29" s="746"/>
    </row>
    <row r="30" spans="2:26" ht="15" customHeight="1" thickTop="1" thickBot="1" x14ac:dyDescent="0.3">
      <c r="B30" s="618"/>
      <c r="C30" s="618"/>
      <c r="E30" s="745" t="s">
        <v>553</v>
      </c>
      <c r="F30" s="746"/>
      <c r="G30" s="747"/>
      <c r="H30" s="751" t="s">
        <v>63</v>
      </c>
      <c r="I30" s="752"/>
      <c r="J30" s="752"/>
      <c r="K30" s="752"/>
      <c r="L30" s="753"/>
      <c r="M30" s="746" t="s">
        <v>554</v>
      </c>
      <c r="N30" s="746"/>
      <c r="O30" s="746"/>
      <c r="P30" s="746"/>
      <c r="Q30" s="746"/>
      <c r="R30" s="746"/>
    </row>
    <row r="31" spans="2:26" ht="15" customHeight="1" thickTop="1" thickBot="1" x14ac:dyDescent="0.3">
      <c r="B31" s="618"/>
      <c r="C31" s="618"/>
      <c r="E31" s="745" t="s">
        <v>555</v>
      </c>
      <c r="F31" s="746"/>
      <c r="G31" s="747"/>
      <c r="H31" s="751" t="s">
        <v>556</v>
      </c>
      <c r="I31" s="752"/>
      <c r="J31" s="752"/>
      <c r="K31" s="752"/>
      <c r="L31" s="753"/>
      <c r="M31" s="746" t="s">
        <v>557</v>
      </c>
      <c r="N31" s="746"/>
      <c r="O31" s="746"/>
      <c r="P31" s="746"/>
      <c r="Q31" s="746"/>
      <c r="R31" s="746"/>
    </row>
    <row r="32" spans="2:26" ht="15" customHeight="1" thickTop="1" thickBot="1" x14ac:dyDescent="0.3">
      <c r="B32" s="618"/>
      <c r="C32" s="618"/>
      <c r="E32" s="745" t="s">
        <v>558</v>
      </c>
      <c r="F32" s="746"/>
      <c r="G32" s="747"/>
      <c r="H32" s="749" t="s">
        <v>559</v>
      </c>
      <c r="I32" s="749"/>
      <c r="J32" s="749"/>
      <c r="K32" s="749"/>
      <c r="L32" s="749"/>
      <c r="M32" s="749"/>
      <c r="N32" s="749"/>
      <c r="O32" s="749"/>
      <c r="P32" s="749"/>
      <c r="Q32" s="749"/>
      <c r="R32" s="749"/>
    </row>
    <row r="33" spans="2:22" ht="33" customHeight="1" thickTop="1" thickBot="1" x14ac:dyDescent="0.3">
      <c r="B33" s="618"/>
      <c r="C33" s="618"/>
      <c r="E33" s="760" t="s">
        <v>699</v>
      </c>
      <c r="F33" s="761"/>
      <c r="G33" s="761"/>
      <c r="H33" s="761"/>
      <c r="I33" s="761"/>
      <c r="J33" s="761"/>
      <c r="K33" s="761"/>
      <c r="L33" s="761"/>
      <c r="M33" s="761"/>
      <c r="N33" s="761"/>
      <c r="O33" s="761"/>
      <c r="P33" s="761"/>
      <c r="Q33" s="761"/>
      <c r="R33" s="761"/>
      <c r="U33" s="379"/>
      <c r="V33" s="337"/>
    </row>
    <row r="34" spans="2:22" ht="30" customHeight="1" thickTop="1" thickBot="1" x14ac:dyDescent="0.3">
      <c r="B34" s="618"/>
      <c r="C34" s="618"/>
      <c r="E34" s="748" t="s">
        <v>561</v>
      </c>
      <c r="F34" s="743" t="s">
        <v>444</v>
      </c>
      <c r="G34" s="744"/>
      <c r="H34" s="738" t="s">
        <v>562</v>
      </c>
      <c r="I34" s="743" t="s">
        <v>463</v>
      </c>
      <c r="J34" s="743" t="s">
        <v>464</v>
      </c>
      <c r="K34" s="743" t="s">
        <v>465</v>
      </c>
      <c r="L34" s="754" t="s">
        <v>466</v>
      </c>
      <c r="M34" s="748" t="s">
        <v>563</v>
      </c>
      <c r="N34" s="743"/>
      <c r="O34" s="743"/>
      <c r="P34" s="743"/>
      <c r="Q34" s="743"/>
      <c r="R34" s="744"/>
    </row>
    <row r="35" spans="2:22" ht="15" customHeight="1" thickTop="1" thickBot="1" x14ac:dyDescent="0.3">
      <c r="B35" s="618"/>
      <c r="C35" s="618"/>
      <c r="E35" s="745" t="s">
        <v>564</v>
      </c>
      <c r="F35" s="746"/>
      <c r="G35" s="747"/>
      <c r="H35" s="751" t="s">
        <v>569</v>
      </c>
      <c r="I35" s="752"/>
      <c r="J35" s="752"/>
      <c r="K35" s="752"/>
      <c r="L35" s="753"/>
      <c r="M35" s="746" t="s">
        <v>570</v>
      </c>
      <c r="N35" s="746"/>
      <c r="O35" s="746"/>
      <c r="P35" s="746"/>
      <c r="Q35" s="746"/>
      <c r="R35" s="746"/>
    </row>
    <row r="36" spans="2:22" ht="15" customHeight="1" thickTop="1" thickBot="1" x14ac:dyDescent="0.3">
      <c r="B36" s="618"/>
      <c r="C36" s="618"/>
      <c r="E36" s="745" t="s">
        <v>565</v>
      </c>
      <c r="F36" s="746"/>
      <c r="G36" s="747"/>
      <c r="H36" s="751" t="s">
        <v>571</v>
      </c>
      <c r="I36" s="752"/>
      <c r="J36" s="752"/>
      <c r="K36" s="752"/>
      <c r="L36" s="753"/>
      <c r="M36" s="746" t="s">
        <v>572</v>
      </c>
      <c r="N36" s="746"/>
      <c r="O36" s="746"/>
      <c r="P36" s="746"/>
      <c r="Q36" s="746"/>
      <c r="R36" s="746"/>
    </row>
    <row r="37" spans="2:22" ht="15" customHeight="1" thickTop="1" thickBot="1" x14ac:dyDescent="0.3">
      <c r="B37" s="618"/>
      <c r="C37" s="618"/>
      <c r="E37" s="745" t="s">
        <v>566</v>
      </c>
      <c r="F37" s="746"/>
      <c r="G37" s="747"/>
      <c r="H37" s="751" t="s">
        <v>550</v>
      </c>
      <c r="I37" s="752"/>
      <c r="J37" s="752"/>
      <c r="K37" s="752"/>
      <c r="L37" s="753"/>
      <c r="M37" s="746" t="s">
        <v>573</v>
      </c>
      <c r="N37" s="746"/>
      <c r="O37" s="746"/>
      <c r="P37" s="746"/>
      <c r="Q37" s="746"/>
      <c r="R37" s="746"/>
    </row>
    <row r="38" spans="2:22" ht="15" customHeight="1" thickTop="1" thickBot="1" x14ac:dyDescent="0.3">
      <c r="B38" s="618"/>
      <c r="C38" s="618"/>
      <c r="E38" s="745" t="s">
        <v>567</v>
      </c>
      <c r="F38" s="746"/>
      <c r="G38" s="747"/>
      <c r="H38" s="751" t="s">
        <v>552</v>
      </c>
      <c r="I38" s="752"/>
      <c r="J38" s="752"/>
      <c r="K38" s="752"/>
      <c r="L38" s="753"/>
      <c r="M38" s="746" t="s">
        <v>574</v>
      </c>
      <c r="N38" s="746"/>
      <c r="O38" s="746"/>
      <c r="P38" s="746"/>
      <c r="Q38" s="746"/>
      <c r="R38" s="746"/>
    </row>
    <row r="39" spans="2:22" ht="15" customHeight="1" thickTop="1" thickBot="1" x14ac:dyDescent="0.3">
      <c r="B39" s="618"/>
      <c r="C39" s="618"/>
      <c r="E39" s="745" t="s">
        <v>568</v>
      </c>
      <c r="F39" s="746"/>
      <c r="G39" s="747"/>
      <c r="H39" s="751" t="s">
        <v>554</v>
      </c>
      <c r="I39" s="752">
        <v>14</v>
      </c>
      <c r="J39" s="752">
        <v>15</v>
      </c>
      <c r="K39" s="752">
        <v>16</v>
      </c>
      <c r="L39" s="753">
        <v>17</v>
      </c>
      <c r="M39" s="746" t="s">
        <v>575</v>
      </c>
      <c r="N39" s="746"/>
      <c r="O39" s="746"/>
      <c r="P39" s="746"/>
      <c r="Q39" s="746"/>
      <c r="R39" s="746"/>
    </row>
    <row r="40" spans="2:22" ht="15" customHeight="1" thickTop="1" thickBot="1" x14ac:dyDescent="0.3">
      <c r="B40" s="618"/>
      <c r="C40" s="618"/>
      <c r="E40" s="745" t="s">
        <v>581</v>
      </c>
      <c r="F40" s="746" t="s">
        <v>446</v>
      </c>
      <c r="G40" s="747"/>
      <c r="H40" s="751" t="s">
        <v>557</v>
      </c>
      <c r="I40" s="752" t="s">
        <v>463</v>
      </c>
      <c r="J40" s="752" t="s">
        <v>464</v>
      </c>
      <c r="K40" s="752" t="s">
        <v>465</v>
      </c>
      <c r="L40" s="753" t="s">
        <v>466</v>
      </c>
      <c r="M40" s="746" t="s">
        <v>576</v>
      </c>
      <c r="N40" s="746"/>
      <c r="O40" s="746"/>
      <c r="P40" s="746"/>
      <c r="Q40" s="746"/>
      <c r="R40" s="746"/>
    </row>
    <row r="41" spans="2:22" ht="3" customHeight="1" thickTop="1" thickBot="1" x14ac:dyDescent="0.3">
      <c r="B41" s="618"/>
      <c r="C41" s="618"/>
      <c r="E41" s="373"/>
      <c r="F41" s="373"/>
      <c r="G41" s="374"/>
      <c r="H41" s="375"/>
      <c r="I41" s="303"/>
      <c r="J41" s="303"/>
      <c r="K41" s="303"/>
      <c r="L41" s="303"/>
      <c r="M41" s="392"/>
      <c r="N41" s="303"/>
      <c r="O41" s="303"/>
      <c r="P41" s="303"/>
      <c r="Q41" s="303"/>
      <c r="R41" s="303"/>
    </row>
    <row r="42" spans="2:22" ht="3" customHeight="1" thickTop="1" thickBot="1" x14ac:dyDescent="0.3">
      <c r="B42" s="618"/>
      <c r="C42" s="618"/>
      <c r="E42" s="362"/>
      <c r="F42" s="341"/>
      <c r="G42" s="341"/>
      <c r="M42" s="286"/>
    </row>
    <row r="43" spans="2:22" ht="42" customHeight="1" thickTop="1" thickBot="1" x14ac:dyDescent="0.3">
      <c r="B43" s="618"/>
      <c r="C43" s="618"/>
      <c r="E43" s="757" t="s">
        <v>580</v>
      </c>
      <c r="F43" s="758"/>
      <c r="G43" s="758"/>
      <c r="H43" s="758"/>
      <c r="I43" s="758"/>
      <c r="J43" s="758"/>
      <c r="K43" s="758"/>
      <c r="L43" s="758"/>
      <c r="M43" s="759"/>
      <c r="N43" s="376"/>
      <c r="O43" s="376"/>
      <c r="P43" s="376"/>
      <c r="Q43" s="376"/>
      <c r="R43" s="376"/>
    </row>
    <row r="44" spans="2:22" ht="15" customHeight="1" thickTop="1" thickBot="1" x14ac:dyDescent="0.35">
      <c r="B44" s="618"/>
      <c r="C44" s="618"/>
      <c r="E44" s="377" t="s">
        <v>469</v>
      </c>
      <c r="F44" s="365"/>
      <c r="G44" s="393"/>
      <c r="H44" s="367"/>
      <c r="I44" s="367"/>
      <c r="J44" s="367"/>
      <c r="K44" s="367"/>
      <c r="L44" s="367"/>
      <c r="M44" s="394"/>
      <c r="N44" s="378"/>
      <c r="O44" s="378"/>
      <c r="P44" s="378"/>
      <c r="Q44" s="378"/>
      <c r="R44" s="378"/>
    </row>
    <row r="45" spans="2:22" ht="27.95" customHeight="1" thickTop="1" thickBot="1" x14ac:dyDescent="0.3">
      <c r="B45" s="618"/>
      <c r="C45" s="618"/>
      <c r="E45" s="380" t="s">
        <v>443</v>
      </c>
      <c r="F45" s="738" t="s">
        <v>444</v>
      </c>
      <c r="G45" s="739"/>
      <c r="H45" s="381" t="s">
        <v>54</v>
      </c>
      <c r="I45" s="382" t="s">
        <v>463</v>
      </c>
      <c r="J45" s="382" t="s">
        <v>464</v>
      </c>
      <c r="K45" s="382" t="s">
        <v>465</v>
      </c>
      <c r="L45" s="382" t="s">
        <v>466</v>
      </c>
      <c r="M45" s="395" t="s">
        <v>467</v>
      </c>
      <c r="N45" s="387"/>
      <c r="O45" s="387"/>
      <c r="P45" s="387"/>
      <c r="Q45" s="387"/>
      <c r="R45" s="387"/>
    </row>
    <row r="46" spans="2:22" ht="15" customHeight="1" thickTop="1" thickBot="1" x14ac:dyDescent="0.3">
      <c r="B46" s="618"/>
      <c r="C46" s="618"/>
      <c r="E46" s="740" t="s">
        <v>230</v>
      </c>
      <c r="F46" s="740"/>
      <c r="G46" s="741"/>
      <c r="H46" s="384" t="s">
        <v>403</v>
      </c>
      <c r="I46" s="385">
        <v>21</v>
      </c>
      <c r="J46" s="385">
        <v>22</v>
      </c>
      <c r="K46" s="385">
        <v>23</v>
      </c>
      <c r="L46" s="385">
        <v>24</v>
      </c>
      <c r="M46" s="397">
        <v>27</v>
      </c>
      <c r="N46" s="398"/>
      <c r="O46" s="398"/>
      <c r="P46" s="398"/>
      <c r="Q46" s="398"/>
      <c r="R46" s="398"/>
    </row>
    <row r="47" spans="2:22" ht="27.95" customHeight="1" thickTop="1" thickBot="1" x14ac:dyDescent="0.3">
      <c r="B47" s="618"/>
      <c r="C47" s="618"/>
      <c r="E47" s="380" t="s">
        <v>445</v>
      </c>
      <c r="F47" s="742" t="s">
        <v>446</v>
      </c>
      <c r="G47" s="739"/>
      <c r="H47" s="381" t="s">
        <v>54</v>
      </c>
      <c r="I47" s="382" t="s">
        <v>463</v>
      </c>
      <c r="J47" s="382" t="s">
        <v>464</v>
      </c>
      <c r="K47" s="382" t="s">
        <v>465</v>
      </c>
      <c r="L47" s="382" t="s">
        <v>466</v>
      </c>
      <c r="M47" s="395" t="s">
        <v>467</v>
      </c>
      <c r="N47" s="387"/>
      <c r="O47" s="387"/>
      <c r="P47" s="387"/>
      <c r="Q47" s="387"/>
      <c r="R47" s="387"/>
    </row>
    <row r="48" spans="2:22" ht="15" customHeight="1" thickTop="1" thickBot="1" x14ac:dyDescent="0.3">
      <c r="B48" s="618"/>
      <c r="C48" s="618"/>
      <c r="E48" s="740" t="s">
        <v>218</v>
      </c>
      <c r="F48" s="740"/>
      <c r="G48" s="741"/>
      <c r="H48" s="370" t="s">
        <v>403</v>
      </c>
      <c r="I48" s="371">
        <v>23</v>
      </c>
      <c r="J48" s="371">
        <v>24</v>
      </c>
      <c r="K48" s="371">
        <v>25</v>
      </c>
      <c r="L48" s="371">
        <v>26</v>
      </c>
      <c r="M48" s="399">
        <v>27</v>
      </c>
      <c r="N48" s="398"/>
      <c r="O48" s="398"/>
      <c r="P48" s="398"/>
      <c r="Q48" s="398"/>
      <c r="R48" s="398"/>
    </row>
    <row r="49" spans="2:22" ht="27.95" customHeight="1" thickTop="1" thickBot="1" x14ac:dyDescent="0.3">
      <c r="B49" s="618"/>
      <c r="C49" s="618"/>
      <c r="E49" s="380" t="s">
        <v>447</v>
      </c>
      <c r="F49" s="743" t="s">
        <v>448</v>
      </c>
      <c r="G49" s="744"/>
      <c r="H49" s="389" t="s">
        <v>54</v>
      </c>
      <c r="I49" s="390" t="s">
        <v>463</v>
      </c>
      <c r="J49" s="390" t="s">
        <v>464</v>
      </c>
      <c r="K49" s="390" t="s">
        <v>465</v>
      </c>
      <c r="L49" s="390" t="s">
        <v>466</v>
      </c>
      <c r="M49" s="391" t="s">
        <v>467</v>
      </c>
      <c r="N49" s="387"/>
      <c r="O49" s="387"/>
      <c r="P49" s="387"/>
      <c r="Q49" s="387"/>
      <c r="R49" s="387"/>
    </row>
    <row r="50" spans="2:22" ht="15" customHeight="1" thickTop="1" thickBot="1" x14ac:dyDescent="0.3">
      <c r="B50" s="618"/>
      <c r="C50" s="618"/>
      <c r="E50" s="740" t="s">
        <v>220</v>
      </c>
      <c r="F50" s="740"/>
      <c r="G50" s="741"/>
      <c r="H50" s="384" t="s">
        <v>403</v>
      </c>
      <c r="I50" s="385">
        <v>24</v>
      </c>
      <c r="J50" s="385">
        <v>25</v>
      </c>
      <c r="K50" s="385">
        <v>26</v>
      </c>
      <c r="L50" s="385">
        <v>27</v>
      </c>
      <c r="M50" s="397">
        <v>28</v>
      </c>
      <c r="N50" s="398"/>
      <c r="O50" s="398"/>
      <c r="P50" s="398"/>
      <c r="Q50" s="398"/>
      <c r="R50" s="398"/>
    </row>
    <row r="51" spans="2:22" ht="27.95" customHeight="1" thickTop="1" thickBot="1" x14ac:dyDescent="0.3">
      <c r="B51" s="618"/>
      <c r="C51" s="618"/>
      <c r="E51" s="380" t="s">
        <v>449</v>
      </c>
      <c r="F51" s="738" t="s">
        <v>450</v>
      </c>
      <c r="G51" s="744"/>
      <c r="H51" s="381" t="s">
        <v>54</v>
      </c>
      <c r="I51" s="382" t="s">
        <v>463</v>
      </c>
      <c r="J51" s="382" t="s">
        <v>464</v>
      </c>
      <c r="K51" s="382" t="s">
        <v>465</v>
      </c>
      <c r="L51" s="382" t="s">
        <v>466</v>
      </c>
      <c r="M51" s="383" t="s">
        <v>467</v>
      </c>
      <c r="N51" s="387"/>
      <c r="O51" s="387"/>
      <c r="P51" s="387"/>
      <c r="Q51" s="387"/>
      <c r="R51" s="387"/>
    </row>
    <row r="52" spans="2:22" ht="15" customHeight="1" thickTop="1" thickBot="1" x14ac:dyDescent="0.3">
      <c r="B52" s="618"/>
      <c r="C52" s="618"/>
      <c r="E52" s="740" t="s">
        <v>222</v>
      </c>
      <c r="F52" s="740"/>
      <c r="G52" s="741"/>
      <c r="H52" s="384" t="s">
        <v>403</v>
      </c>
      <c r="I52" s="385">
        <v>25</v>
      </c>
      <c r="J52" s="385">
        <v>26</v>
      </c>
      <c r="K52" s="385">
        <v>27</v>
      </c>
      <c r="L52" s="385">
        <v>28</v>
      </c>
      <c r="M52" s="386">
        <v>29</v>
      </c>
      <c r="N52" s="398"/>
      <c r="O52" s="398"/>
      <c r="P52" s="398"/>
      <c r="Q52" s="398"/>
      <c r="R52" s="398"/>
    </row>
    <row r="53" spans="2:22" ht="27.95" customHeight="1" thickTop="1" thickBot="1" x14ac:dyDescent="0.3">
      <c r="B53" s="618"/>
      <c r="C53" s="618"/>
      <c r="E53" s="380" t="s">
        <v>451</v>
      </c>
      <c r="F53" s="738" t="s">
        <v>452</v>
      </c>
      <c r="G53" s="744"/>
      <c r="H53" s="381" t="s">
        <v>54</v>
      </c>
      <c r="I53" s="382" t="s">
        <v>463</v>
      </c>
      <c r="J53" s="382" t="s">
        <v>464</v>
      </c>
      <c r="K53" s="382" t="s">
        <v>465</v>
      </c>
      <c r="L53" s="382" t="s">
        <v>466</v>
      </c>
      <c r="M53" s="383" t="s">
        <v>467</v>
      </c>
      <c r="N53" s="387"/>
      <c r="O53" s="387"/>
      <c r="P53" s="387"/>
      <c r="Q53" s="387"/>
      <c r="R53" s="387"/>
      <c r="U53" s="352"/>
    </row>
    <row r="54" spans="2:22" ht="15" customHeight="1" thickTop="1" thickBot="1" x14ac:dyDescent="0.3">
      <c r="B54" s="618"/>
      <c r="C54" s="618"/>
      <c r="E54" s="740" t="s">
        <v>224</v>
      </c>
      <c r="F54" s="740"/>
      <c r="G54" s="741"/>
      <c r="H54" s="497" t="s">
        <v>403</v>
      </c>
      <c r="I54" s="498">
        <v>20</v>
      </c>
      <c r="J54" s="498">
        <v>21</v>
      </c>
      <c r="K54" s="498">
        <v>22</v>
      </c>
      <c r="L54" s="498">
        <v>23</v>
      </c>
      <c r="M54" s="499">
        <v>24</v>
      </c>
      <c r="N54" s="398"/>
      <c r="O54" s="398"/>
      <c r="P54" s="398"/>
      <c r="Q54" s="398"/>
      <c r="R54" s="398"/>
    </row>
    <row r="55" spans="2:22" ht="30" customHeight="1" thickTop="1" thickBot="1" x14ac:dyDescent="0.3">
      <c r="B55" s="618"/>
      <c r="C55" s="618"/>
      <c r="E55" s="380" t="s">
        <v>577</v>
      </c>
      <c r="F55" s="738" t="s">
        <v>461</v>
      </c>
      <c r="G55" s="744"/>
      <c r="H55" s="500" t="s">
        <v>54</v>
      </c>
      <c r="I55" s="445" t="s">
        <v>463</v>
      </c>
      <c r="J55" s="445" t="s">
        <v>464</v>
      </c>
      <c r="K55" s="445" t="s">
        <v>465</v>
      </c>
      <c r="L55" s="445" t="s">
        <v>466</v>
      </c>
      <c r="M55" s="501" t="s">
        <v>467</v>
      </c>
      <c r="N55" s="387"/>
      <c r="O55" s="387"/>
      <c r="P55" s="387"/>
      <c r="Q55" s="387"/>
      <c r="R55" s="387"/>
      <c r="T55" s="400"/>
    </row>
    <row r="56" spans="2:22" ht="15" customHeight="1" thickTop="1" thickBot="1" x14ac:dyDescent="0.3">
      <c r="B56" s="618"/>
      <c r="C56" s="618"/>
      <c r="E56" s="750" t="s">
        <v>215</v>
      </c>
      <c r="F56" s="740"/>
      <c r="G56" s="741"/>
      <c r="H56" s="370" t="s">
        <v>403</v>
      </c>
      <c r="I56" s="371">
        <v>22</v>
      </c>
      <c r="J56" s="371">
        <v>23</v>
      </c>
      <c r="K56" s="371">
        <v>24</v>
      </c>
      <c r="L56" s="371">
        <v>25</v>
      </c>
      <c r="M56" s="388">
        <v>26</v>
      </c>
      <c r="N56" s="398"/>
      <c r="O56" s="398"/>
      <c r="P56" s="398"/>
      <c r="Q56" s="398"/>
      <c r="R56" s="398"/>
    </row>
    <row r="57" spans="2:22" ht="32.25" customHeight="1" thickTop="1" thickBot="1" x14ac:dyDescent="0.3">
      <c r="B57" s="618"/>
      <c r="C57" s="618"/>
      <c r="E57" s="755" t="s">
        <v>578</v>
      </c>
      <c r="F57" s="689"/>
      <c r="G57" s="689"/>
      <c r="H57" s="689"/>
      <c r="I57" s="689"/>
      <c r="J57" s="689"/>
      <c r="K57" s="689"/>
      <c r="L57" s="689"/>
      <c r="M57" s="699"/>
      <c r="N57" s="398"/>
      <c r="O57" s="398"/>
      <c r="P57" s="398"/>
      <c r="Q57" s="398"/>
      <c r="R57" s="398"/>
    </row>
    <row r="58" spans="2:22" ht="3" customHeight="1" thickTop="1" thickBot="1" x14ac:dyDescent="0.3">
      <c r="E58" s="373"/>
      <c r="F58" s="373"/>
      <c r="G58" s="374"/>
      <c r="H58" s="375"/>
      <c r="I58" s="303"/>
      <c r="J58" s="303"/>
      <c r="K58" s="303"/>
      <c r="L58" s="303"/>
      <c r="M58" s="392"/>
      <c r="N58" s="303"/>
      <c r="O58" s="303"/>
      <c r="P58" s="303"/>
      <c r="Q58" s="303"/>
      <c r="R58" s="392"/>
    </row>
    <row r="59" spans="2:22" ht="3" customHeight="1" thickTop="1" x14ac:dyDescent="0.25">
      <c r="E59" s="362"/>
      <c r="F59" s="341"/>
      <c r="G59" s="341"/>
      <c r="M59" s="286"/>
      <c r="R59" s="286"/>
    </row>
    <row r="60" spans="2:22" ht="15.75" hidden="1" customHeight="1" x14ac:dyDescent="0.25">
      <c r="H60" s="379"/>
      <c r="M60" s="396"/>
      <c r="P60" s="404"/>
    </row>
    <row r="61" spans="2:22" hidden="1" x14ac:dyDescent="0.25">
      <c r="H61" s="379"/>
      <c r="P61" s="404"/>
      <c r="V61" s="400"/>
    </row>
    <row r="62" spans="2:22" ht="15.75" hidden="1" customHeight="1" x14ac:dyDescent="0.25">
      <c r="H62" s="379"/>
      <c r="P62" s="404"/>
    </row>
    <row r="63" spans="2:22" hidden="1" x14ac:dyDescent="0.25">
      <c r="H63" s="379"/>
      <c r="P63" s="404"/>
    </row>
    <row r="64" spans="2:22" hidden="1" x14ac:dyDescent="0.25">
      <c r="H64" s="379"/>
      <c r="P64" s="404"/>
    </row>
    <row r="65" spans="8:22" hidden="1" x14ac:dyDescent="0.25">
      <c r="H65" s="379"/>
      <c r="P65" s="405"/>
    </row>
    <row r="66" spans="8:22" hidden="1" x14ac:dyDescent="0.25">
      <c r="H66" s="379"/>
      <c r="O66" s="406"/>
    </row>
    <row r="67" spans="8:22" hidden="1" x14ac:dyDescent="0.25">
      <c r="H67" s="379"/>
      <c r="O67" s="406"/>
    </row>
    <row r="68" spans="8:22" hidden="1" x14ac:dyDescent="0.25">
      <c r="H68" s="379"/>
      <c r="O68" s="406"/>
      <c r="V68" s="379"/>
    </row>
    <row r="69" spans="8:22" hidden="1" x14ac:dyDescent="0.25">
      <c r="H69" s="407"/>
      <c r="I69" s="403"/>
      <c r="J69" s="403"/>
      <c r="K69" s="403"/>
      <c r="L69" s="403"/>
      <c r="M69" s="403"/>
      <c r="N69" s="403"/>
      <c r="O69" s="408"/>
    </row>
    <row r="70" spans="8:22" hidden="1" x14ac:dyDescent="0.25">
      <c r="O70" s="406"/>
    </row>
    <row r="71" spans="8:22" hidden="1" x14ac:dyDescent="0.25">
      <c r="O71" s="406"/>
    </row>
    <row r="72" spans="8:22" hidden="1" x14ac:dyDescent="0.25">
      <c r="O72" s="406"/>
    </row>
    <row r="73" spans="8:22" hidden="1" x14ac:dyDescent="0.25">
      <c r="O73" s="406"/>
    </row>
    <row r="74" spans="8:22" hidden="1" x14ac:dyDescent="0.25">
      <c r="O74" s="406"/>
    </row>
    <row r="75" spans="8:22" hidden="1" x14ac:dyDescent="0.25">
      <c r="O75" s="406"/>
    </row>
    <row r="76" spans="8:22" hidden="1" x14ac:dyDescent="0.25">
      <c r="O76" s="406"/>
    </row>
    <row r="77" spans="8:22" hidden="1" x14ac:dyDescent="0.25">
      <c r="O77" s="406"/>
    </row>
    <row r="78" spans="8:22" hidden="1" x14ac:dyDescent="0.25">
      <c r="O78" s="406"/>
    </row>
    <row r="79" spans="8:22" hidden="1" x14ac:dyDescent="0.25">
      <c r="O79" s="406"/>
    </row>
    <row r="80" spans="8:22" hidden="1" x14ac:dyDescent="0.25">
      <c r="O80" s="406"/>
    </row>
    <row r="81" spans="15:15" hidden="1" x14ac:dyDescent="0.25">
      <c r="O81" s="406"/>
    </row>
    <row r="82" spans="15:15" hidden="1" x14ac:dyDescent="0.25">
      <c r="O82" s="406"/>
    </row>
    <row r="83" spans="15:15" hidden="1" x14ac:dyDescent="0.25">
      <c r="O83" s="406"/>
    </row>
    <row r="84" spans="15:15" hidden="1" x14ac:dyDescent="0.25">
      <c r="O84" s="406"/>
    </row>
    <row r="85" spans="15:15" hidden="1" x14ac:dyDescent="0.25">
      <c r="O85" s="406"/>
    </row>
    <row r="86" spans="15:15" hidden="1" x14ac:dyDescent="0.25">
      <c r="O86" s="406"/>
    </row>
    <row r="87" spans="15:15" hidden="1" x14ac:dyDescent="0.25">
      <c r="O87" s="406"/>
    </row>
    <row r="88" spans="15:15" hidden="1" x14ac:dyDescent="0.25">
      <c r="O88" s="406"/>
    </row>
    <row r="89" spans="15:15" hidden="1" x14ac:dyDescent="0.25">
      <c r="O89" s="406"/>
    </row>
    <row r="90" spans="15:15" hidden="1" x14ac:dyDescent="0.25">
      <c r="O90" s="406"/>
    </row>
    <row r="91" spans="15:15" hidden="1" x14ac:dyDescent="0.25">
      <c r="O91" s="406"/>
    </row>
    <row r="92" spans="15:15" hidden="1" x14ac:dyDescent="0.25">
      <c r="O92" s="406"/>
    </row>
    <row r="93" spans="15:15" hidden="1" x14ac:dyDescent="0.25">
      <c r="O93" s="406"/>
    </row>
    <row r="94" spans="15:15" hidden="1" x14ac:dyDescent="0.25">
      <c r="O94" s="406"/>
    </row>
    <row r="95" spans="15:15" hidden="1" x14ac:dyDescent="0.25">
      <c r="O95" s="406"/>
    </row>
    <row r="96" spans="15:15" hidden="1" x14ac:dyDescent="0.25">
      <c r="O96" s="406"/>
    </row>
    <row r="97" spans="9:21" hidden="1" x14ac:dyDescent="0.25">
      <c r="O97" s="406"/>
    </row>
    <row r="98" spans="9:21" hidden="1" x14ac:dyDescent="0.25">
      <c r="O98" s="406"/>
      <c r="U98" s="403"/>
    </row>
    <row r="99" spans="9:21" hidden="1" x14ac:dyDescent="0.25">
      <c r="O99" s="406"/>
    </row>
    <row r="100" spans="9:21" hidden="1" x14ac:dyDescent="0.25">
      <c r="O100" s="406"/>
    </row>
    <row r="101" spans="9:21" hidden="1" x14ac:dyDescent="0.25">
      <c r="I101" s="403"/>
      <c r="O101" s="406"/>
    </row>
    <row r="102" spans="9:21" hidden="1" x14ac:dyDescent="0.25">
      <c r="O102" s="406"/>
    </row>
    <row r="103" spans="9:21" hidden="1" x14ac:dyDescent="0.25">
      <c r="O103" s="406"/>
    </row>
    <row r="104" spans="9:21" hidden="1" x14ac:dyDescent="0.25">
      <c r="O104" s="406"/>
    </row>
    <row r="105" spans="9:21" hidden="1" x14ac:dyDescent="0.25">
      <c r="O105" s="406"/>
    </row>
    <row r="106" spans="9:21" hidden="1" x14ac:dyDescent="0.25">
      <c r="O106" s="406"/>
    </row>
    <row r="107" spans="9:21" hidden="1" x14ac:dyDescent="0.25">
      <c r="O107" s="406"/>
    </row>
    <row r="108" spans="9:21" hidden="1" x14ac:dyDescent="0.25">
      <c r="O108" s="406"/>
    </row>
    <row r="109" spans="9:21" hidden="1" x14ac:dyDescent="0.25">
      <c r="O109" s="406"/>
    </row>
    <row r="110" spans="9:21" hidden="1" x14ac:dyDescent="0.25">
      <c r="O110" s="406"/>
    </row>
    <row r="111" spans="9:21" hidden="1" x14ac:dyDescent="0.25">
      <c r="O111" s="406"/>
    </row>
    <row r="112" spans="9:21" hidden="1" x14ac:dyDescent="0.25">
      <c r="O112" s="406"/>
    </row>
    <row r="113" spans="15:15" hidden="1" x14ac:dyDescent="0.25">
      <c r="O113" s="406"/>
    </row>
    <row r="114" spans="15:15" hidden="1" x14ac:dyDescent="0.25">
      <c r="O114" s="406"/>
    </row>
    <row r="115" spans="15:15" hidden="1" x14ac:dyDescent="0.25">
      <c r="O115" s="406"/>
    </row>
    <row r="116" spans="15:15" hidden="1" x14ac:dyDescent="0.25">
      <c r="O116" s="406"/>
    </row>
    <row r="117" spans="15:15" hidden="1" x14ac:dyDescent="0.25">
      <c r="O117" s="406"/>
    </row>
    <row r="118" spans="15:15" hidden="1" x14ac:dyDescent="0.25">
      <c r="O118" s="406"/>
    </row>
    <row r="119" spans="15:15" hidden="1" x14ac:dyDescent="0.25">
      <c r="O119" s="406"/>
    </row>
    <row r="120" spans="15:15" hidden="1" x14ac:dyDescent="0.25">
      <c r="O120" s="406"/>
    </row>
    <row r="121" spans="15:15" hidden="1" x14ac:dyDescent="0.25">
      <c r="O121" s="406"/>
    </row>
    <row r="122" spans="15:15" hidden="1" x14ac:dyDescent="0.25">
      <c r="O122" s="406"/>
    </row>
    <row r="123" spans="15:15" hidden="1" x14ac:dyDescent="0.25">
      <c r="O123" s="406"/>
    </row>
    <row r="124" spans="15:15" hidden="1" x14ac:dyDescent="0.25">
      <c r="O124" s="406"/>
    </row>
    <row r="125" spans="15:15" hidden="1" x14ac:dyDescent="0.25">
      <c r="O125" s="406"/>
    </row>
    <row r="126" spans="15:15" hidden="1" x14ac:dyDescent="0.25">
      <c r="O126" s="406"/>
    </row>
    <row r="127" spans="15:15" hidden="1" x14ac:dyDescent="0.25">
      <c r="O127" s="406"/>
    </row>
    <row r="128" spans="15:15" hidden="1" x14ac:dyDescent="0.25">
      <c r="O128" s="406"/>
    </row>
    <row r="181" spans="22:22" hidden="1" x14ac:dyDescent="0.25">
      <c r="V181" s="403"/>
    </row>
  </sheetData>
  <sheetProtection algorithmName="SHA-512" hashValue="ykOEIVpi5eTaI9C7eYeQVtSd8qtmmgze3xly4+38MevYPP8HrNuQKCNyCOxq8RiKitGaUJiGmhaGMKWc4I32yQ==" saltValue="tf0RRBDwygOlgc9bKqrGPQ==" spinCount="100000" sheet="1" objects="1" scenarios="1"/>
  <protectedRanges>
    <protectedRange algorithmName="SHA-512" hashValue="xQXz/leZzNgGvGJy/g9/dP1Y/XEAHsn/ktclvs09jDj7V8KFjcmmqoUep7DuclzOaS1UwDky0vODOoAlsVOqDQ==" saltValue="U/+4UEiyniqqlIx0RnRkKA==" spinCount="100000" sqref="E20:R58" name="ICAmedellin"/>
  </protectedRanges>
  <mergeCells count="64">
    <mergeCell ref="B2:C5"/>
    <mergeCell ref="E8:R8"/>
    <mergeCell ref="E10:R10"/>
    <mergeCell ref="E43:M43"/>
    <mergeCell ref="E20:M20"/>
    <mergeCell ref="E40:G40"/>
    <mergeCell ref="H40:L40"/>
    <mergeCell ref="M40:R40"/>
    <mergeCell ref="E35:G35"/>
    <mergeCell ref="H35:L35"/>
    <mergeCell ref="M35:R35"/>
    <mergeCell ref="E33:R33"/>
    <mergeCell ref="H30:L30"/>
    <mergeCell ref="M30:R30"/>
    <mergeCell ref="E31:G31"/>
    <mergeCell ref="H31:L31"/>
    <mergeCell ref="E57:M57"/>
    <mergeCell ref="B8:C8"/>
    <mergeCell ref="B10:B21"/>
    <mergeCell ref="B6:C7"/>
    <mergeCell ref="H36:L36"/>
    <mergeCell ref="M36:R36"/>
    <mergeCell ref="E37:G37"/>
    <mergeCell ref="H37:L37"/>
    <mergeCell ref="M37:R37"/>
    <mergeCell ref="E38:G38"/>
    <mergeCell ref="H38:L38"/>
    <mergeCell ref="M38:R38"/>
    <mergeCell ref="H34:L34"/>
    <mergeCell ref="M34:R34"/>
    <mergeCell ref="H39:L39"/>
    <mergeCell ref="M39:R39"/>
    <mergeCell ref="M28:R28"/>
    <mergeCell ref="E29:G29"/>
    <mergeCell ref="H29:L29"/>
    <mergeCell ref="M29:R29"/>
    <mergeCell ref="E27:G27"/>
    <mergeCell ref="H27:L27"/>
    <mergeCell ref="H28:L28"/>
    <mergeCell ref="E54:G54"/>
    <mergeCell ref="F55:G55"/>
    <mergeCell ref="E56:G56"/>
    <mergeCell ref="E48:G48"/>
    <mergeCell ref="F49:G49"/>
    <mergeCell ref="E50:G50"/>
    <mergeCell ref="F51:G51"/>
    <mergeCell ref="E52:G52"/>
    <mergeCell ref="F53:G53"/>
    <mergeCell ref="B22:C57"/>
    <mergeCell ref="E11:R19"/>
    <mergeCell ref="F45:G45"/>
    <mergeCell ref="E46:G46"/>
    <mergeCell ref="F47:G47"/>
    <mergeCell ref="E22:G22"/>
    <mergeCell ref="E23:G23"/>
    <mergeCell ref="E39:G39"/>
    <mergeCell ref="E30:G30"/>
    <mergeCell ref="E34:G34"/>
    <mergeCell ref="E36:G36"/>
    <mergeCell ref="M31:R31"/>
    <mergeCell ref="E32:G32"/>
    <mergeCell ref="H32:R32"/>
    <mergeCell ref="M27:R27"/>
    <mergeCell ref="E28:G28"/>
  </mergeCells>
  <hyperlinks>
    <hyperlink ref="B10:B21" location="Anual!A1" display="Calendario" xr:uid="{355C3E8D-9A2A-4671-BCF6-1763018685D8}"/>
    <hyperlink ref="C10" location="Enero!A1" display="Enero" xr:uid="{7631C55F-EF3D-4CD8-8942-A4325DE64370}"/>
    <hyperlink ref="C11" location="Febrero!A1" display="Febrero" xr:uid="{9994FF03-9342-4A50-9F16-C7182F510BA2}"/>
    <hyperlink ref="C12" location="Marzo!A1" display="Marzo" xr:uid="{945038D7-D814-4EA7-9B46-786E990E94C8}"/>
    <hyperlink ref="C13" location="Abril!A1" display="Abril" xr:uid="{BB55BA0C-F4AB-4597-A200-C4FC99190BB2}"/>
    <hyperlink ref="C14" location="Mayo!A1" display="Mayo" xr:uid="{E73EAA11-4E2B-4D5C-8136-9AEDFB2089FB}"/>
    <hyperlink ref="C15" location="Junio!A1" display="Junio" xr:uid="{B8696559-555A-4FCA-BC6E-FC161653051B}"/>
    <hyperlink ref="C16" location="Julio!A1" display="Julio" xr:uid="{7B2EE79D-C74F-4D8C-8BE8-06F3DFF761A3}"/>
    <hyperlink ref="C17" location="Agosto!A1" display="Agosto" xr:uid="{42269722-C8C4-4C09-B853-15FB8A597CF6}"/>
    <hyperlink ref="C18" location="Septiembre!A1" display="Septiembre" xr:uid="{998B24AF-E14B-4C76-A6F5-7948F49A8914}"/>
    <hyperlink ref="C19" location="Octubre!A1" display="Octubre" xr:uid="{A71DD979-778D-46B8-ACAD-B69648C22F18}"/>
    <hyperlink ref="C20" location="Noviembre!A1" display="Noviembre" xr:uid="{267B541D-16E8-49F9-8D0F-89ACC586673B}"/>
    <hyperlink ref="C21" location="Diciembre!A1" display="Diciembre" xr:uid="{6F927A5C-3EDB-4190-BCB5-D109E70CBF4A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F3302-4D70-46D7-BFF2-D932B2438C99}">
  <dimension ref="A1:AH117"/>
  <sheetViews>
    <sheetView showGridLines="0" showRowColHeaders="0" topLeftCell="A3" workbookViewId="0">
      <pane ySplit="4" topLeftCell="A19" activePane="bottomLeft" state="frozen"/>
      <selection activeCell="A3" sqref="A3"/>
      <selection pane="bottomLeft" activeCell="E19" sqref="E19"/>
    </sheetView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4.28515625" customWidth="1"/>
    <col min="6" max="7" width="11.42578125" customWidth="1"/>
    <col min="8" max="8" width="16.7109375" customWidth="1"/>
    <col min="9" max="18" width="5.7109375" customWidth="1"/>
    <col min="19" max="19" width="1" customWidth="1"/>
    <col min="20" max="20" width="4" hidden="1" customWidth="1"/>
    <col min="21" max="23" width="11.42578125" hidden="1" customWidth="1"/>
    <col min="24" max="24" width="16.7109375" hidden="1" customWidth="1"/>
    <col min="25" max="34" width="5.7109375" hidden="1" customWidth="1"/>
    <col min="35" max="16384" width="11.42578125" hidden="1"/>
  </cols>
  <sheetData>
    <row r="1" spans="1:18" ht="24" customHeight="1" x14ac:dyDescent="0.25">
      <c r="B1" s="546"/>
      <c r="C1" s="546"/>
    </row>
    <row r="2" spans="1:18" ht="24" customHeight="1" x14ac:dyDescent="0.25">
      <c r="B2" s="546"/>
      <c r="C2" s="546"/>
    </row>
    <row r="3" spans="1:18" ht="24" customHeight="1" x14ac:dyDescent="0.25">
      <c r="A3" t="s">
        <v>687</v>
      </c>
      <c r="B3" s="546"/>
      <c r="C3" s="546"/>
    </row>
    <row r="4" spans="1:18" ht="24" customHeight="1" x14ac:dyDescent="0.25">
      <c r="B4" s="546"/>
      <c r="C4" s="546"/>
    </row>
    <row r="5" spans="1:18" ht="24" customHeight="1" x14ac:dyDescent="0.25">
      <c r="B5" s="563" t="s">
        <v>47</v>
      </c>
      <c r="C5" s="563"/>
    </row>
    <row r="6" spans="1:18" x14ac:dyDescent="0.25">
      <c r="B6" s="563"/>
      <c r="C6" s="563"/>
    </row>
    <row r="7" spans="1:18" ht="18.75" x14ac:dyDescent="0.25">
      <c r="B7" s="555" t="s">
        <v>67</v>
      </c>
      <c r="C7" s="556"/>
      <c r="E7" s="729" t="s">
        <v>525</v>
      </c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</row>
    <row r="8" spans="1:18" x14ac:dyDescent="0.25">
      <c r="B8" s="173"/>
      <c r="C8" s="172" t="s">
        <v>51</v>
      </c>
    </row>
    <row r="9" spans="1:18" ht="15.75" x14ac:dyDescent="0.25">
      <c r="B9" s="557" t="s">
        <v>52</v>
      </c>
      <c r="C9" s="159" t="s">
        <v>53</v>
      </c>
      <c r="E9" s="756" t="s">
        <v>610</v>
      </c>
      <c r="F9" s="756"/>
      <c r="G9" s="756"/>
      <c r="H9" s="756"/>
      <c r="I9" s="756"/>
      <c r="J9" s="756"/>
      <c r="K9" s="756"/>
      <c r="L9" s="756"/>
      <c r="M9" s="756"/>
      <c r="N9" s="756"/>
      <c r="O9" s="756"/>
      <c r="P9" s="756"/>
      <c r="Q9" s="756"/>
      <c r="R9" s="756"/>
    </row>
    <row r="10" spans="1:18" x14ac:dyDescent="0.25">
      <c r="B10" s="558"/>
      <c r="C10" s="160" t="s">
        <v>56</v>
      </c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6"/>
      <c r="P10" s="546"/>
      <c r="Q10" s="546"/>
      <c r="R10" s="546"/>
    </row>
    <row r="11" spans="1:18" x14ac:dyDescent="0.25">
      <c r="B11" s="558"/>
      <c r="C11" s="160" t="s">
        <v>57</v>
      </c>
      <c r="E11" s="546"/>
      <c r="F11" s="546"/>
      <c r="G11" s="546"/>
      <c r="H11" s="546"/>
      <c r="I11" s="546"/>
      <c r="J11" s="546"/>
      <c r="K11" s="546"/>
      <c r="L11" s="546"/>
      <c r="M11" s="546"/>
      <c r="N11" s="546"/>
      <c r="O11" s="546"/>
      <c r="P11" s="546"/>
      <c r="Q11" s="546"/>
      <c r="R11" s="546"/>
    </row>
    <row r="12" spans="1:18" x14ac:dyDescent="0.25">
      <c r="B12" s="558"/>
      <c r="C12" s="160" t="s">
        <v>58</v>
      </c>
      <c r="E12" s="546"/>
      <c r="F12" s="546"/>
      <c r="G12" s="546"/>
      <c r="H12" s="546"/>
      <c r="I12" s="546"/>
      <c r="J12" s="546"/>
      <c r="K12" s="546"/>
      <c r="L12" s="546"/>
      <c r="M12" s="546"/>
      <c r="N12" s="546"/>
      <c r="O12" s="546"/>
      <c r="P12" s="546"/>
      <c r="Q12" s="546"/>
      <c r="R12" s="546"/>
    </row>
    <row r="13" spans="1:18" x14ac:dyDescent="0.25">
      <c r="B13" s="558"/>
      <c r="C13" s="160" t="s">
        <v>59</v>
      </c>
      <c r="E13" s="546"/>
      <c r="F13" s="546"/>
      <c r="G13" s="546"/>
      <c r="H13" s="546"/>
      <c r="I13" s="546"/>
      <c r="J13" s="546"/>
      <c r="K13" s="546"/>
      <c r="L13" s="546"/>
      <c r="M13" s="546"/>
      <c r="N13" s="546"/>
      <c r="O13" s="546"/>
      <c r="P13" s="546"/>
      <c r="Q13" s="546"/>
      <c r="R13" s="546"/>
    </row>
    <row r="14" spans="1:18" x14ac:dyDescent="0.25">
      <c r="B14" s="558"/>
      <c r="C14" s="160" t="s">
        <v>60</v>
      </c>
      <c r="E14" s="546"/>
      <c r="F14" s="546"/>
      <c r="G14" s="546"/>
      <c r="H14" s="546"/>
      <c r="I14" s="546"/>
      <c r="J14" s="546"/>
      <c r="K14" s="546"/>
      <c r="L14" s="546"/>
      <c r="M14" s="546"/>
      <c r="N14" s="546"/>
      <c r="O14" s="546"/>
      <c r="P14" s="546"/>
      <c r="Q14" s="546"/>
      <c r="R14" s="546"/>
    </row>
    <row r="15" spans="1:18" x14ac:dyDescent="0.25">
      <c r="B15" s="558"/>
      <c r="C15" s="160" t="s">
        <v>61</v>
      </c>
      <c r="E15" s="546"/>
      <c r="F15" s="546"/>
      <c r="G15" s="546"/>
      <c r="H15" s="546"/>
      <c r="I15" s="546"/>
      <c r="J15" s="546"/>
      <c r="K15" s="546"/>
      <c r="L15" s="546"/>
      <c r="M15" s="546"/>
      <c r="N15" s="546"/>
      <c r="O15" s="546"/>
      <c r="P15" s="546"/>
      <c r="Q15" s="546"/>
      <c r="R15" s="546"/>
    </row>
    <row r="16" spans="1:18" x14ac:dyDescent="0.25">
      <c r="B16" s="558"/>
      <c r="C16" s="160" t="s">
        <v>62</v>
      </c>
      <c r="E16" s="546"/>
      <c r="F16" s="546"/>
      <c r="G16" s="546"/>
      <c r="H16" s="546"/>
      <c r="I16" s="546"/>
      <c r="J16" s="546"/>
      <c r="K16" s="546"/>
      <c r="L16" s="546"/>
      <c r="M16" s="546"/>
      <c r="N16" s="546"/>
      <c r="O16" s="546"/>
      <c r="P16" s="546"/>
      <c r="Q16" s="546"/>
      <c r="R16" s="546"/>
    </row>
    <row r="17" spans="2:34" x14ac:dyDescent="0.25">
      <c r="B17" s="558"/>
      <c r="C17" s="160" t="s">
        <v>63</v>
      </c>
      <c r="E17" s="546"/>
      <c r="F17" s="546"/>
      <c r="G17" s="546"/>
      <c r="H17" s="546"/>
      <c r="I17" s="546"/>
      <c r="J17" s="546"/>
      <c r="K17" s="546"/>
      <c r="L17" s="546"/>
      <c r="M17" s="546"/>
      <c r="N17" s="546"/>
      <c r="O17" s="546"/>
      <c r="P17" s="546"/>
      <c r="Q17" s="546"/>
      <c r="R17" s="546"/>
    </row>
    <row r="18" spans="2:34" x14ac:dyDescent="0.25">
      <c r="B18" s="558"/>
      <c r="C18" s="160" t="s">
        <v>64</v>
      </c>
      <c r="E18" s="762"/>
      <c r="F18" s="762"/>
      <c r="G18" s="762"/>
      <c r="H18" s="762"/>
      <c r="I18" s="762"/>
      <c r="J18" s="762"/>
      <c r="K18" s="762"/>
      <c r="L18" s="762"/>
      <c r="M18" s="762"/>
      <c r="N18" s="762"/>
      <c r="O18" s="762"/>
      <c r="P18" s="762"/>
      <c r="Q18" s="762"/>
      <c r="R18" s="762"/>
    </row>
    <row r="19" spans="2:34" ht="18.75" x14ac:dyDescent="0.3">
      <c r="B19" s="558"/>
      <c r="C19" s="160" t="s">
        <v>65</v>
      </c>
      <c r="E19" s="326" t="s">
        <v>612</v>
      </c>
      <c r="F19" s="427"/>
      <c r="G19" s="427"/>
      <c r="H19" s="327"/>
      <c r="I19" s="327"/>
      <c r="J19" s="327"/>
      <c r="K19" s="327"/>
      <c r="L19" s="327"/>
      <c r="M19" s="327"/>
      <c r="N19" s="334"/>
      <c r="O19" s="335"/>
      <c r="P19" s="335"/>
      <c r="Q19" s="335"/>
      <c r="R19" s="335"/>
      <c r="S19" s="354"/>
    </row>
    <row r="20" spans="2:34" ht="19.5" thickBot="1" x14ac:dyDescent="0.35">
      <c r="B20" s="558"/>
      <c r="C20" s="160" t="s">
        <v>66</v>
      </c>
      <c r="E20" s="428" t="s">
        <v>582</v>
      </c>
      <c r="F20" s="429"/>
      <c r="G20" s="429"/>
      <c r="H20" s="401"/>
      <c r="I20" s="401"/>
      <c r="J20" s="401"/>
      <c r="K20" s="338"/>
      <c r="L20" s="338"/>
      <c r="M20" s="338"/>
      <c r="N20" s="338"/>
      <c r="O20" s="338"/>
      <c r="P20" s="338"/>
      <c r="Q20" s="338"/>
      <c r="R20" s="338"/>
      <c r="S20" s="354"/>
    </row>
    <row r="21" spans="2:34" ht="31.5" thickTop="1" thickBot="1" x14ac:dyDescent="0.3">
      <c r="B21" s="561"/>
      <c r="C21" s="561"/>
      <c r="E21" s="764" t="s">
        <v>546</v>
      </c>
      <c r="F21" s="764"/>
      <c r="G21" s="765"/>
      <c r="H21" s="415" t="s">
        <v>54</v>
      </c>
      <c r="I21" s="416">
        <v>0</v>
      </c>
      <c r="J21" s="416">
        <v>9</v>
      </c>
      <c r="K21" s="416">
        <v>8</v>
      </c>
      <c r="L21" s="416">
        <v>7</v>
      </c>
      <c r="M21" s="416">
        <v>6</v>
      </c>
      <c r="N21" s="416">
        <v>5</v>
      </c>
      <c r="O21" s="416">
        <v>4</v>
      </c>
      <c r="P21" s="416">
        <v>3</v>
      </c>
      <c r="Q21" s="416">
        <v>2</v>
      </c>
      <c r="R21" s="416">
        <v>1</v>
      </c>
    </row>
    <row r="22" spans="2:34" ht="17.25" thickTop="1" thickBot="1" x14ac:dyDescent="0.3">
      <c r="B22" s="561"/>
      <c r="C22" s="561"/>
      <c r="E22" s="766" t="s">
        <v>583</v>
      </c>
      <c r="F22" s="766"/>
      <c r="G22" s="767"/>
      <c r="H22" s="328" t="s">
        <v>403</v>
      </c>
      <c r="I22" s="298">
        <v>10</v>
      </c>
      <c r="J22" s="298">
        <v>13</v>
      </c>
      <c r="K22" s="298">
        <v>14</v>
      </c>
      <c r="L22" s="298">
        <v>15</v>
      </c>
      <c r="M22" s="298">
        <v>16</v>
      </c>
      <c r="N22" s="298">
        <v>17</v>
      </c>
      <c r="O22" s="298">
        <v>23</v>
      </c>
      <c r="P22" s="298">
        <v>24</v>
      </c>
      <c r="Q22" s="298">
        <v>27</v>
      </c>
      <c r="R22" s="298">
        <v>28</v>
      </c>
    </row>
    <row r="23" spans="2:34" ht="1.5" customHeight="1" thickTop="1" thickBot="1" x14ac:dyDescent="0.3">
      <c r="B23" s="561"/>
      <c r="C23" s="561"/>
      <c r="E23" s="373"/>
      <c r="F23" s="373"/>
      <c r="G23" s="374"/>
      <c r="H23" s="375"/>
      <c r="I23" s="303"/>
      <c r="J23" s="303"/>
      <c r="K23" s="303"/>
      <c r="L23" s="303"/>
      <c r="M23" s="303"/>
      <c r="N23" s="303"/>
      <c r="O23" s="303"/>
      <c r="P23" s="303"/>
      <c r="Q23" s="303"/>
      <c r="R23" s="303"/>
    </row>
    <row r="24" spans="2:34" ht="2.25" customHeight="1" thickTop="1" thickBot="1" x14ac:dyDescent="0.3">
      <c r="B24" s="561"/>
      <c r="C24" s="561"/>
      <c r="E24" s="362"/>
      <c r="F24" s="341"/>
      <c r="G24" s="341"/>
    </row>
    <row r="25" spans="2:34" ht="20.100000000000001" customHeight="1" thickTop="1" thickBot="1" x14ac:dyDescent="0.4">
      <c r="B25" s="561"/>
      <c r="C25" s="561"/>
      <c r="E25" s="358" t="s">
        <v>611</v>
      </c>
      <c r="F25" s="363"/>
      <c r="G25" s="363"/>
      <c r="H25" s="363"/>
      <c r="I25" s="363"/>
      <c r="J25" s="363"/>
      <c r="K25" s="363"/>
      <c r="L25" s="363"/>
      <c r="M25" s="363"/>
      <c r="N25" s="306"/>
      <c r="O25" s="307"/>
      <c r="P25" s="307"/>
      <c r="Q25" s="307"/>
      <c r="R25" s="307"/>
      <c r="S25" s="352"/>
      <c r="U25" s="409"/>
      <c r="V25" s="410"/>
      <c r="W25" s="410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</row>
    <row r="26" spans="2:34" ht="15" customHeight="1" thickTop="1" thickBot="1" x14ac:dyDescent="0.4">
      <c r="B26" s="561"/>
      <c r="C26" s="561"/>
      <c r="E26" s="412" t="s">
        <v>589</v>
      </c>
      <c r="F26" s="366"/>
      <c r="G26" s="366"/>
      <c r="H26" s="366"/>
      <c r="I26" s="366"/>
      <c r="J26" s="366"/>
      <c r="K26" s="367"/>
      <c r="L26" s="367"/>
      <c r="M26" s="367"/>
      <c r="N26" s="367"/>
      <c r="O26" s="367"/>
      <c r="P26" s="367"/>
      <c r="Q26" s="367"/>
      <c r="R26" s="367"/>
      <c r="S26" s="352"/>
      <c r="T26" s="352"/>
      <c r="U26" s="413"/>
      <c r="V26" s="414"/>
      <c r="W26" s="414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</row>
    <row r="27" spans="2:34" ht="27.95" customHeight="1" thickTop="1" thickBot="1" x14ac:dyDescent="0.3">
      <c r="B27" s="561"/>
      <c r="C27" s="561"/>
      <c r="E27" s="621" t="s">
        <v>470</v>
      </c>
      <c r="F27" s="621"/>
      <c r="G27" s="727"/>
      <c r="H27" s="415" t="s">
        <v>54</v>
      </c>
      <c r="I27" s="416">
        <v>0</v>
      </c>
      <c r="J27" s="416">
        <v>9</v>
      </c>
      <c r="K27" s="416">
        <v>8</v>
      </c>
      <c r="L27" s="416">
        <v>7</v>
      </c>
      <c r="M27" s="416">
        <v>6</v>
      </c>
      <c r="N27" s="416">
        <v>5</v>
      </c>
      <c r="O27" s="416">
        <v>4</v>
      </c>
      <c r="P27" s="416">
        <v>3</v>
      </c>
      <c r="Q27" s="416">
        <v>2</v>
      </c>
      <c r="R27" s="416">
        <v>1</v>
      </c>
      <c r="U27" s="417"/>
      <c r="V27" s="763"/>
      <c r="W27" s="763"/>
      <c r="X27" s="418"/>
      <c r="Y27" s="419"/>
      <c r="Z27" s="419"/>
      <c r="AA27" s="419"/>
      <c r="AB27" s="419"/>
      <c r="AC27" s="419"/>
      <c r="AD27" s="419"/>
      <c r="AE27" s="419"/>
      <c r="AF27" s="419"/>
      <c r="AG27" s="419"/>
      <c r="AH27" s="419"/>
    </row>
    <row r="28" spans="2:34" ht="15" customHeight="1" thickTop="1" thickBot="1" x14ac:dyDescent="0.3">
      <c r="B28" s="561"/>
      <c r="C28" s="561"/>
      <c r="E28" s="689" t="s">
        <v>590</v>
      </c>
      <c r="F28" s="689"/>
      <c r="G28" s="690"/>
      <c r="H28" s="328" t="s">
        <v>403</v>
      </c>
      <c r="I28" s="298">
        <v>10</v>
      </c>
      <c r="J28" s="298">
        <v>13</v>
      </c>
      <c r="K28" s="298">
        <v>14</v>
      </c>
      <c r="L28" s="298">
        <v>15</v>
      </c>
      <c r="M28" s="298">
        <v>16</v>
      </c>
      <c r="N28" s="298">
        <v>17</v>
      </c>
      <c r="O28" s="298">
        <v>23</v>
      </c>
      <c r="P28" s="298">
        <v>24</v>
      </c>
      <c r="Q28" s="298">
        <v>27</v>
      </c>
      <c r="R28" s="298">
        <v>28</v>
      </c>
      <c r="U28" s="768"/>
      <c r="V28" s="768"/>
      <c r="W28" s="768"/>
      <c r="X28" s="420"/>
      <c r="Y28" s="421"/>
      <c r="Z28" s="421"/>
      <c r="AA28" s="421"/>
      <c r="AB28" s="421"/>
      <c r="AC28" s="421"/>
      <c r="AD28" s="421"/>
      <c r="AE28" s="421"/>
      <c r="AF28" s="421"/>
      <c r="AG28" s="421"/>
      <c r="AH28" s="421"/>
    </row>
    <row r="29" spans="2:34" ht="27.95" customHeight="1" thickTop="1" thickBot="1" x14ac:dyDescent="0.3">
      <c r="B29" s="561"/>
      <c r="C29" s="561"/>
      <c r="E29" s="769" t="s">
        <v>471</v>
      </c>
      <c r="F29" s="769"/>
      <c r="G29" s="770"/>
      <c r="H29" s="415" t="s">
        <v>54</v>
      </c>
      <c r="I29" s="416">
        <v>0</v>
      </c>
      <c r="J29" s="416">
        <v>9</v>
      </c>
      <c r="K29" s="416">
        <v>8</v>
      </c>
      <c r="L29" s="416">
        <v>7</v>
      </c>
      <c r="M29" s="416">
        <v>6</v>
      </c>
      <c r="N29" s="416">
        <v>5</v>
      </c>
      <c r="O29" s="416">
        <v>4</v>
      </c>
      <c r="P29" s="416">
        <v>3</v>
      </c>
      <c r="Q29" s="416">
        <v>2</v>
      </c>
      <c r="R29" s="416">
        <v>1</v>
      </c>
      <c r="U29" s="417"/>
      <c r="V29" s="763"/>
      <c r="W29" s="763"/>
      <c r="X29" s="418"/>
      <c r="Y29" s="419"/>
      <c r="Z29" s="419"/>
      <c r="AA29" s="419"/>
      <c r="AB29" s="419"/>
      <c r="AC29" s="419"/>
      <c r="AD29" s="419"/>
      <c r="AE29" s="422"/>
      <c r="AF29" s="419"/>
      <c r="AG29" s="419"/>
      <c r="AH29" s="419"/>
    </row>
    <row r="30" spans="2:34" ht="15" customHeight="1" thickTop="1" thickBot="1" x14ac:dyDescent="0.3">
      <c r="B30" s="561"/>
      <c r="C30" s="561"/>
      <c r="E30" s="689" t="s">
        <v>591</v>
      </c>
      <c r="F30" s="689"/>
      <c r="G30" s="690"/>
      <c r="H30" s="328" t="s">
        <v>403</v>
      </c>
      <c r="I30" s="298">
        <v>17</v>
      </c>
      <c r="J30" s="298">
        <v>21</v>
      </c>
      <c r="K30" s="298">
        <v>22</v>
      </c>
      <c r="L30" s="298">
        <v>23</v>
      </c>
      <c r="M30" s="298">
        <v>24</v>
      </c>
      <c r="N30" s="298">
        <v>27</v>
      </c>
      <c r="O30" s="298">
        <v>28</v>
      </c>
      <c r="P30" s="298">
        <v>29</v>
      </c>
      <c r="Q30" s="298">
        <v>30</v>
      </c>
      <c r="R30" s="298">
        <v>31</v>
      </c>
      <c r="U30" s="771"/>
      <c r="V30" s="771"/>
      <c r="W30" s="771"/>
      <c r="X30" s="420"/>
      <c r="Y30" s="421"/>
      <c r="Z30" s="421"/>
      <c r="AA30" s="421"/>
      <c r="AB30" s="421"/>
      <c r="AC30" s="421"/>
      <c r="AD30" s="421"/>
      <c r="AE30" s="421"/>
      <c r="AF30" s="421"/>
      <c r="AG30" s="421"/>
      <c r="AH30" s="421"/>
    </row>
    <row r="31" spans="2:34" ht="27.95" customHeight="1" thickTop="1" thickBot="1" x14ac:dyDescent="0.3">
      <c r="B31" s="561"/>
      <c r="C31" s="561"/>
      <c r="E31" s="769" t="s">
        <v>472</v>
      </c>
      <c r="F31" s="769"/>
      <c r="G31" s="770"/>
      <c r="H31" s="415" t="s">
        <v>54</v>
      </c>
      <c r="I31" s="416">
        <v>0</v>
      </c>
      <c r="J31" s="416">
        <v>9</v>
      </c>
      <c r="K31" s="416">
        <v>8</v>
      </c>
      <c r="L31" s="416">
        <v>7</v>
      </c>
      <c r="M31" s="416">
        <v>6</v>
      </c>
      <c r="N31" s="416">
        <v>5</v>
      </c>
      <c r="O31" s="416">
        <v>4</v>
      </c>
      <c r="P31" s="416">
        <v>3</v>
      </c>
      <c r="Q31" s="416">
        <v>2</v>
      </c>
      <c r="R31" s="416">
        <v>1</v>
      </c>
      <c r="U31" s="417"/>
      <c r="V31" s="763"/>
      <c r="W31" s="763"/>
      <c r="X31" s="418"/>
      <c r="Y31" s="419"/>
      <c r="Z31" s="419"/>
      <c r="AA31" s="419"/>
      <c r="AB31" s="419"/>
      <c r="AC31" s="419"/>
      <c r="AD31" s="419"/>
      <c r="AE31" s="419"/>
      <c r="AF31" s="419"/>
      <c r="AG31" s="419"/>
      <c r="AH31" s="419"/>
    </row>
    <row r="32" spans="2:34" ht="15" customHeight="1" thickTop="1" thickBot="1" x14ac:dyDescent="0.3">
      <c r="B32" s="561"/>
      <c r="C32" s="561"/>
      <c r="E32" s="689" t="s">
        <v>592</v>
      </c>
      <c r="F32" s="689"/>
      <c r="G32" s="690"/>
      <c r="H32" s="328" t="s">
        <v>403</v>
      </c>
      <c r="I32" s="298">
        <v>17</v>
      </c>
      <c r="J32" s="298">
        <v>18</v>
      </c>
      <c r="K32" s="298">
        <v>19</v>
      </c>
      <c r="L32" s="298">
        <v>20</v>
      </c>
      <c r="M32" s="298">
        <v>21</v>
      </c>
      <c r="N32" s="298">
        <v>24</v>
      </c>
      <c r="O32" s="298">
        <v>25</v>
      </c>
      <c r="P32" s="298">
        <v>26</v>
      </c>
      <c r="Q32" s="298">
        <v>27</v>
      </c>
      <c r="R32" s="298">
        <v>28</v>
      </c>
      <c r="U32" s="771"/>
      <c r="V32" s="771"/>
      <c r="W32" s="771"/>
      <c r="X32" s="420"/>
      <c r="Y32" s="421"/>
      <c r="Z32" s="421"/>
      <c r="AA32" s="421"/>
      <c r="AB32" s="421"/>
      <c r="AC32" s="421"/>
      <c r="AD32" s="421"/>
      <c r="AE32" s="421"/>
      <c r="AF32" s="421"/>
      <c r="AG32" s="421"/>
      <c r="AH32" s="421"/>
    </row>
    <row r="33" spans="2:34" ht="27.95" customHeight="1" thickTop="1" thickBot="1" x14ac:dyDescent="0.3">
      <c r="B33" s="561"/>
      <c r="C33" s="561"/>
      <c r="E33" s="621" t="s">
        <v>473</v>
      </c>
      <c r="F33" s="621"/>
      <c r="G33" s="621"/>
      <c r="H33" s="423" t="s">
        <v>54</v>
      </c>
      <c r="I33" s="416">
        <v>0</v>
      </c>
      <c r="J33" s="416">
        <v>9</v>
      </c>
      <c r="K33" s="416">
        <v>8</v>
      </c>
      <c r="L33" s="416">
        <v>7</v>
      </c>
      <c r="M33" s="416">
        <v>6</v>
      </c>
      <c r="N33" s="416">
        <v>5</v>
      </c>
      <c r="O33" s="416">
        <v>4</v>
      </c>
      <c r="P33" s="416">
        <v>3</v>
      </c>
      <c r="Q33" s="416">
        <v>2</v>
      </c>
      <c r="R33" s="416">
        <v>1</v>
      </c>
      <c r="U33" s="417"/>
      <c r="V33" s="763"/>
      <c r="W33" s="763"/>
      <c r="X33" s="418"/>
      <c r="Y33" s="419"/>
      <c r="Z33" s="419"/>
      <c r="AA33" s="419"/>
      <c r="AB33" s="419"/>
      <c r="AC33" s="419"/>
      <c r="AD33" s="419"/>
      <c r="AE33" s="419"/>
      <c r="AF33" s="419"/>
      <c r="AG33" s="419"/>
      <c r="AH33" s="419"/>
    </row>
    <row r="34" spans="2:34" s="424" customFormat="1" ht="15" customHeight="1" thickTop="1" thickBot="1" x14ac:dyDescent="0.3">
      <c r="B34" s="561"/>
      <c r="C34" s="561"/>
      <c r="E34" s="689" t="s">
        <v>593</v>
      </c>
      <c r="F34" s="689"/>
      <c r="G34" s="699"/>
      <c r="H34" s="328" t="s">
        <v>403</v>
      </c>
      <c r="I34" s="298">
        <v>17</v>
      </c>
      <c r="J34" s="298">
        <v>18</v>
      </c>
      <c r="K34" s="298">
        <v>19</v>
      </c>
      <c r="L34" s="298">
        <v>23</v>
      </c>
      <c r="M34" s="298">
        <v>24</v>
      </c>
      <c r="N34" s="298">
        <v>25</v>
      </c>
      <c r="O34" s="298">
        <v>26</v>
      </c>
      <c r="P34" s="298">
        <v>29</v>
      </c>
      <c r="Q34" s="298">
        <v>30</v>
      </c>
      <c r="R34" s="298">
        <v>31</v>
      </c>
      <c r="U34" s="771"/>
      <c r="V34" s="771"/>
      <c r="W34" s="771"/>
      <c r="X34" s="420"/>
      <c r="Y34" s="421"/>
      <c r="Z34" s="421"/>
      <c r="AA34" s="421"/>
      <c r="AB34" s="421"/>
      <c r="AC34" s="421"/>
      <c r="AD34" s="421"/>
      <c r="AE34" s="421"/>
      <c r="AF34" s="421"/>
      <c r="AG34" s="421"/>
      <c r="AH34" s="421"/>
    </row>
    <row r="35" spans="2:34" ht="27.95" customHeight="1" thickTop="1" thickBot="1" x14ac:dyDescent="0.3">
      <c r="B35" s="561"/>
      <c r="C35" s="561"/>
      <c r="E35" s="621" t="s">
        <v>474</v>
      </c>
      <c r="F35" s="621"/>
      <c r="G35" s="621"/>
      <c r="H35" s="415" t="s">
        <v>54</v>
      </c>
      <c r="I35" s="416">
        <v>0</v>
      </c>
      <c r="J35" s="416">
        <v>9</v>
      </c>
      <c r="K35" s="416">
        <v>8</v>
      </c>
      <c r="L35" s="416">
        <v>7</v>
      </c>
      <c r="M35" s="416">
        <v>6</v>
      </c>
      <c r="N35" s="416">
        <v>5</v>
      </c>
      <c r="O35" s="416">
        <v>4</v>
      </c>
      <c r="P35" s="416">
        <v>3</v>
      </c>
      <c r="Q35" s="416">
        <v>2</v>
      </c>
      <c r="R35" s="416">
        <v>1</v>
      </c>
      <c r="U35" s="417"/>
      <c r="V35" s="763"/>
      <c r="W35" s="763"/>
      <c r="X35" s="418"/>
      <c r="Y35" s="419"/>
      <c r="Z35" s="419"/>
      <c r="AA35" s="419"/>
      <c r="AB35" s="419"/>
      <c r="AC35" s="419"/>
      <c r="AD35" s="419"/>
      <c r="AE35" s="419"/>
      <c r="AF35" s="419"/>
      <c r="AG35" s="419"/>
      <c r="AH35" s="419"/>
    </row>
    <row r="36" spans="2:34" ht="15" customHeight="1" thickTop="1" thickBot="1" x14ac:dyDescent="0.3">
      <c r="B36" s="561"/>
      <c r="C36" s="561"/>
      <c r="E36" s="689" t="s">
        <v>594</v>
      </c>
      <c r="F36" s="689"/>
      <c r="G36" s="699"/>
      <c r="H36" s="328" t="s">
        <v>403</v>
      </c>
      <c r="I36" s="298">
        <v>16</v>
      </c>
      <c r="J36" s="298">
        <v>20</v>
      </c>
      <c r="K36" s="298">
        <v>21</v>
      </c>
      <c r="L36" s="298">
        <v>22</v>
      </c>
      <c r="M36" s="298">
        <v>23</v>
      </c>
      <c r="N36" s="298">
        <v>26</v>
      </c>
      <c r="O36" s="298">
        <v>27</v>
      </c>
      <c r="P36" s="298">
        <v>28</v>
      </c>
      <c r="Q36" s="298">
        <v>29</v>
      </c>
      <c r="R36" s="298">
        <v>30</v>
      </c>
      <c r="U36" s="771"/>
      <c r="V36" s="771"/>
      <c r="W36" s="771"/>
      <c r="X36" s="420"/>
      <c r="Y36" s="421"/>
      <c r="Z36" s="421"/>
      <c r="AA36" s="421"/>
      <c r="AB36" s="421"/>
      <c r="AC36" s="421"/>
      <c r="AD36" s="421"/>
      <c r="AE36" s="421"/>
      <c r="AF36" s="421"/>
      <c r="AG36" s="421"/>
      <c r="AH36" s="421"/>
    </row>
    <row r="37" spans="2:34" ht="15" customHeight="1" thickTop="1" thickBot="1" x14ac:dyDescent="0.3">
      <c r="B37" s="561"/>
      <c r="C37" s="561"/>
      <c r="E37" s="769" t="s">
        <v>475</v>
      </c>
      <c r="F37" s="769"/>
      <c r="G37" s="770"/>
      <c r="H37" s="423" t="s">
        <v>54</v>
      </c>
      <c r="I37" s="416">
        <v>0</v>
      </c>
      <c r="J37" s="416">
        <v>9</v>
      </c>
      <c r="K37" s="416">
        <v>8</v>
      </c>
      <c r="L37" s="416">
        <v>7</v>
      </c>
      <c r="M37" s="416">
        <v>6</v>
      </c>
      <c r="N37" s="416">
        <v>5</v>
      </c>
      <c r="O37" s="416">
        <v>4</v>
      </c>
      <c r="P37" s="416">
        <v>3</v>
      </c>
      <c r="Q37" s="416">
        <v>2</v>
      </c>
      <c r="R37" s="416">
        <v>1</v>
      </c>
      <c r="U37" s="417"/>
      <c r="V37" s="763"/>
      <c r="W37" s="763"/>
      <c r="X37" s="418"/>
      <c r="Y37" s="419"/>
      <c r="Z37" s="419"/>
      <c r="AA37" s="419"/>
      <c r="AB37" s="419"/>
      <c r="AC37" s="419"/>
      <c r="AD37" s="419"/>
      <c r="AE37" s="419"/>
      <c r="AF37" s="419"/>
      <c r="AG37" s="419"/>
      <c r="AH37" s="419"/>
    </row>
    <row r="38" spans="2:34" ht="15" customHeight="1" thickTop="1" thickBot="1" x14ac:dyDescent="0.3">
      <c r="B38" s="561"/>
      <c r="C38" s="561"/>
      <c r="E38" s="689" t="s">
        <v>595</v>
      </c>
      <c r="F38" s="689"/>
      <c r="G38" s="690"/>
      <c r="H38" s="328" t="s">
        <v>403</v>
      </c>
      <c r="I38" s="298">
        <v>17</v>
      </c>
      <c r="J38" s="298">
        <v>18</v>
      </c>
      <c r="K38" s="298">
        <v>19</v>
      </c>
      <c r="L38" s="298">
        <v>21</v>
      </c>
      <c r="M38" s="298">
        <v>24</v>
      </c>
      <c r="N38" s="298">
        <v>25</v>
      </c>
      <c r="O38" s="298">
        <v>26</v>
      </c>
      <c r="P38" s="298">
        <v>27</v>
      </c>
      <c r="Q38" s="298">
        <v>28</v>
      </c>
      <c r="R38" s="298">
        <v>31</v>
      </c>
      <c r="U38" s="771"/>
      <c r="V38" s="771"/>
      <c r="W38" s="771"/>
      <c r="X38" s="420"/>
      <c r="Y38" s="421"/>
      <c r="Z38" s="421"/>
      <c r="AA38" s="421"/>
      <c r="AB38" s="421"/>
      <c r="AC38" s="421"/>
      <c r="AD38" s="421"/>
      <c r="AE38" s="421"/>
      <c r="AF38" s="421"/>
      <c r="AG38" s="421"/>
      <c r="AH38" s="421"/>
    </row>
    <row r="39" spans="2:34" ht="27.95" customHeight="1" thickTop="1" thickBot="1" x14ac:dyDescent="0.35">
      <c r="B39" s="561"/>
      <c r="C39" s="561"/>
      <c r="E39" s="769" t="s">
        <v>476</v>
      </c>
      <c r="F39" s="769"/>
      <c r="G39" s="770"/>
      <c r="H39" s="415" t="s">
        <v>54</v>
      </c>
      <c r="I39" s="416">
        <v>0</v>
      </c>
      <c r="J39" s="416">
        <v>9</v>
      </c>
      <c r="K39" s="416">
        <v>8</v>
      </c>
      <c r="L39" s="416">
        <v>7</v>
      </c>
      <c r="M39" s="416">
        <v>6</v>
      </c>
      <c r="N39" s="416">
        <v>5</v>
      </c>
      <c r="O39" s="416">
        <v>4</v>
      </c>
      <c r="P39" s="416">
        <v>3</v>
      </c>
      <c r="Q39" s="416">
        <v>2</v>
      </c>
      <c r="R39" s="416">
        <v>1</v>
      </c>
      <c r="U39" s="425"/>
      <c r="V39" s="425"/>
      <c r="W39" s="426"/>
      <c r="X39" s="350"/>
      <c r="Y39" s="351"/>
      <c r="Z39" s="351"/>
      <c r="AA39" s="351"/>
      <c r="AB39" s="351"/>
      <c r="AC39" s="351"/>
      <c r="AD39" s="351"/>
      <c r="AE39" s="351"/>
      <c r="AF39" s="351"/>
      <c r="AG39" s="351"/>
      <c r="AH39" s="351"/>
    </row>
    <row r="40" spans="2:34" ht="15" customHeight="1" thickTop="1" thickBot="1" x14ac:dyDescent="0.3">
      <c r="B40" s="561"/>
      <c r="C40" s="561"/>
      <c r="E40" s="689" t="s">
        <v>596</v>
      </c>
      <c r="F40" s="689"/>
      <c r="G40" s="690"/>
      <c r="H40" s="328" t="s">
        <v>403</v>
      </c>
      <c r="I40" s="298">
        <v>17</v>
      </c>
      <c r="J40" s="298">
        <v>18</v>
      </c>
      <c r="K40" s="298">
        <v>22</v>
      </c>
      <c r="L40" s="298">
        <v>23</v>
      </c>
      <c r="M40" s="298">
        <v>24</v>
      </c>
      <c r="N40" s="298">
        <v>25</v>
      </c>
      <c r="O40" s="298">
        <v>28</v>
      </c>
      <c r="P40" s="298">
        <v>29</v>
      </c>
      <c r="Q40" s="298">
        <v>30</v>
      </c>
      <c r="R40" s="298">
        <v>31</v>
      </c>
    </row>
    <row r="41" spans="2:34" ht="27.95" customHeight="1" thickTop="1" thickBot="1" x14ac:dyDescent="0.3">
      <c r="B41" s="561"/>
      <c r="C41" s="561"/>
      <c r="E41" s="769" t="s">
        <v>477</v>
      </c>
      <c r="F41" s="769"/>
      <c r="G41" s="770"/>
      <c r="H41" s="415" t="s">
        <v>54</v>
      </c>
      <c r="I41" s="416">
        <v>0</v>
      </c>
      <c r="J41" s="416">
        <v>9</v>
      </c>
      <c r="K41" s="416">
        <v>8</v>
      </c>
      <c r="L41" s="416">
        <v>7</v>
      </c>
      <c r="M41" s="416">
        <v>6</v>
      </c>
      <c r="N41" s="416">
        <v>5</v>
      </c>
      <c r="O41" s="416">
        <v>4</v>
      </c>
      <c r="P41" s="416">
        <v>3</v>
      </c>
      <c r="Q41" s="416">
        <v>2</v>
      </c>
      <c r="R41" s="416">
        <v>1</v>
      </c>
    </row>
    <row r="42" spans="2:34" ht="15" customHeight="1" thickTop="1" thickBot="1" x14ac:dyDescent="0.3">
      <c r="B42" s="561"/>
      <c r="C42" s="561"/>
      <c r="E42" s="689" t="s">
        <v>597</v>
      </c>
      <c r="F42" s="689"/>
      <c r="G42" s="690"/>
      <c r="H42" s="328" t="s">
        <v>403</v>
      </c>
      <c r="I42" s="298">
        <v>18</v>
      </c>
      <c r="J42" s="298">
        <v>19</v>
      </c>
      <c r="K42" s="298">
        <v>20</v>
      </c>
      <c r="L42" s="298">
        <v>21</v>
      </c>
      <c r="M42" s="298">
        <v>22</v>
      </c>
      <c r="N42" s="298">
        <v>25</v>
      </c>
      <c r="O42" s="298">
        <v>26</v>
      </c>
      <c r="P42" s="298">
        <v>27</v>
      </c>
      <c r="Q42" s="298">
        <v>28</v>
      </c>
      <c r="R42" s="298">
        <v>29</v>
      </c>
    </row>
    <row r="43" spans="2:34" ht="27.95" customHeight="1" thickTop="1" thickBot="1" x14ac:dyDescent="0.3">
      <c r="B43" s="561"/>
      <c r="C43" s="561"/>
      <c r="E43" s="769" t="s">
        <v>478</v>
      </c>
      <c r="F43" s="769"/>
      <c r="G43" s="770"/>
      <c r="H43" s="415" t="s">
        <v>54</v>
      </c>
      <c r="I43" s="416">
        <v>0</v>
      </c>
      <c r="J43" s="416">
        <v>9</v>
      </c>
      <c r="K43" s="416">
        <v>8</v>
      </c>
      <c r="L43" s="416">
        <v>7</v>
      </c>
      <c r="M43" s="416">
        <v>6</v>
      </c>
      <c r="N43" s="416">
        <v>5</v>
      </c>
      <c r="O43" s="416">
        <v>4</v>
      </c>
      <c r="P43" s="416">
        <v>3</v>
      </c>
      <c r="Q43" s="416">
        <v>2</v>
      </c>
      <c r="R43" s="416">
        <v>1</v>
      </c>
    </row>
    <row r="44" spans="2:34" ht="15" customHeight="1" thickTop="1" thickBot="1" x14ac:dyDescent="0.3">
      <c r="B44" s="561"/>
      <c r="C44" s="561"/>
      <c r="E44" s="689" t="s">
        <v>598</v>
      </c>
      <c r="F44" s="689"/>
      <c r="G44" s="690"/>
      <c r="H44" s="328" t="s">
        <v>403</v>
      </c>
      <c r="I44" s="298">
        <v>13</v>
      </c>
      <c r="J44" s="298">
        <v>17</v>
      </c>
      <c r="K44" s="298">
        <v>18</v>
      </c>
      <c r="L44" s="298">
        <v>19</v>
      </c>
      <c r="M44" s="298">
        <v>20</v>
      </c>
      <c r="N44" s="298">
        <v>23</v>
      </c>
      <c r="O44" s="298">
        <v>24</v>
      </c>
      <c r="P44" s="298">
        <v>25</v>
      </c>
      <c r="Q44" s="298">
        <v>26</v>
      </c>
      <c r="R44" s="298">
        <v>27</v>
      </c>
    </row>
    <row r="45" spans="2:34" ht="27.95" customHeight="1" thickTop="1" thickBot="1" x14ac:dyDescent="0.3">
      <c r="B45" s="561"/>
      <c r="C45" s="561"/>
      <c r="E45" s="769" t="s">
        <v>479</v>
      </c>
      <c r="F45" s="769"/>
      <c r="G45" s="770"/>
      <c r="H45" s="415" t="s">
        <v>54</v>
      </c>
      <c r="I45" s="416">
        <v>0</v>
      </c>
      <c r="J45" s="416">
        <v>9</v>
      </c>
      <c r="K45" s="416">
        <v>8</v>
      </c>
      <c r="L45" s="416">
        <v>7</v>
      </c>
      <c r="M45" s="416">
        <v>6</v>
      </c>
      <c r="N45" s="416">
        <v>5</v>
      </c>
      <c r="O45" s="416">
        <v>4</v>
      </c>
      <c r="P45" s="416">
        <v>3</v>
      </c>
      <c r="Q45" s="416">
        <v>2</v>
      </c>
      <c r="R45" s="416">
        <v>1</v>
      </c>
    </row>
    <row r="46" spans="2:34" ht="15" customHeight="1" thickTop="1" thickBot="1" x14ac:dyDescent="0.3">
      <c r="B46" s="561"/>
      <c r="C46" s="561"/>
      <c r="E46" s="689" t="s">
        <v>599</v>
      </c>
      <c r="F46" s="689"/>
      <c r="G46" s="690"/>
      <c r="H46" s="328" t="s">
        <v>403</v>
      </c>
      <c r="I46" s="298">
        <v>17</v>
      </c>
      <c r="J46" s="298">
        <v>20</v>
      </c>
      <c r="K46" s="298">
        <v>21</v>
      </c>
      <c r="L46" s="298">
        <v>22</v>
      </c>
      <c r="M46" s="298">
        <v>23</v>
      </c>
      <c r="N46" s="298">
        <v>24</v>
      </c>
      <c r="O46" s="298">
        <v>27</v>
      </c>
      <c r="P46" s="298">
        <v>28</v>
      </c>
      <c r="Q46" s="298">
        <v>29</v>
      </c>
      <c r="R46" s="298">
        <v>30</v>
      </c>
    </row>
    <row r="47" spans="2:34" ht="27.95" customHeight="1" thickTop="1" thickBot="1" x14ac:dyDescent="0.3">
      <c r="B47" s="561"/>
      <c r="C47" s="561"/>
      <c r="E47" s="769" t="s">
        <v>480</v>
      </c>
      <c r="F47" s="769"/>
      <c r="G47" s="770"/>
      <c r="H47" s="415" t="s">
        <v>54</v>
      </c>
      <c r="I47" s="416">
        <v>0</v>
      </c>
      <c r="J47" s="416">
        <v>9</v>
      </c>
      <c r="K47" s="416">
        <v>8</v>
      </c>
      <c r="L47" s="416">
        <v>7</v>
      </c>
      <c r="M47" s="416">
        <v>6</v>
      </c>
      <c r="N47" s="416">
        <v>5</v>
      </c>
      <c r="O47" s="416">
        <v>4</v>
      </c>
      <c r="P47" s="416">
        <v>3</v>
      </c>
      <c r="Q47" s="416">
        <v>2</v>
      </c>
      <c r="R47" s="416">
        <v>1</v>
      </c>
    </row>
    <row r="48" spans="2:34" ht="15" customHeight="1" thickTop="1" thickBot="1" x14ac:dyDescent="0.3">
      <c r="B48" s="561"/>
      <c r="C48" s="561"/>
      <c r="E48" s="689" t="s">
        <v>600</v>
      </c>
      <c r="F48" s="689"/>
      <c r="G48" s="690"/>
      <c r="H48" s="328" t="s">
        <v>403</v>
      </c>
      <c r="I48" s="298">
        <v>14</v>
      </c>
      <c r="J48" s="298">
        <v>15</v>
      </c>
      <c r="K48" s="298">
        <v>18</v>
      </c>
      <c r="L48" s="298">
        <v>19</v>
      </c>
      <c r="M48" s="298">
        <v>20</v>
      </c>
      <c r="N48" s="298">
        <v>21</v>
      </c>
      <c r="O48" s="298">
        <v>22</v>
      </c>
      <c r="P48" s="298">
        <v>26</v>
      </c>
      <c r="Q48" s="298">
        <v>27</v>
      </c>
      <c r="R48" s="298">
        <v>28</v>
      </c>
    </row>
    <row r="49" spans="2:34" ht="27.95" customHeight="1" thickTop="1" thickBot="1" x14ac:dyDescent="0.3">
      <c r="B49" s="561"/>
      <c r="C49" s="561"/>
      <c r="E49" s="769" t="s">
        <v>481</v>
      </c>
      <c r="F49" s="769"/>
      <c r="G49" s="770"/>
      <c r="H49" s="415" t="s">
        <v>54</v>
      </c>
      <c r="I49" s="416">
        <v>0</v>
      </c>
      <c r="J49" s="416">
        <v>9</v>
      </c>
      <c r="K49" s="416">
        <v>8</v>
      </c>
      <c r="L49" s="416">
        <v>7</v>
      </c>
      <c r="M49" s="416">
        <v>6</v>
      </c>
      <c r="N49" s="416">
        <v>5</v>
      </c>
      <c r="O49" s="416">
        <v>4</v>
      </c>
      <c r="P49" s="416">
        <v>3</v>
      </c>
      <c r="Q49" s="416">
        <v>2</v>
      </c>
      <c r="R49" s="416">
        <v>1</v>
      </c>
    </row>
    <row r="50" spans="2:34" ht="15" customHeight="1" thickTop="1" thickBot="1" x14ac:dyDescent="0.3">
      <c r="B50" s="561"/>
      <c r="C50" s="561"/>
      <c r="E50" s="689" t="s">
        <v>601</v>
      </c>
      <c r="F50" s="689"/>
      <c r="G50" s="690"/>
      <c r="H50" s="328" t="s">
        <v>403</v>
      </c>
      <c r="I50" s="298">
        <v>18</v>
      </c>
      <c r="J50" s="298">
        <v>19</v>
      </c>
      <c r="K50" s="298">
        <v>22</v>
      </c>
      <c r="L50" s="298">
        <v>23</v>
      </c>
      <c r="M50" s="298">
        <v>24</v>
      </c>
      <c r="N50" s="298">
        <v>25</v>
      </c>
      <c r="O50" s="298">
        <v>26</v>
      </c>
      <c r="P50" s="298">
        <v>29</v>
      </c>
      <c r="Q50" s="298">
        <v>30</v>
      </c>
      <c r="R50" s="298">
        <v>31</v>
      </c>
    </row>
    <row r="51" spans="2:34" ht="3" customHeight="1" thickTop="1" thickBot="1" x14ac:dyDescent="0.3">
      <c r="B51" s="561"/>
      <c r="C51" s="561"/>
      <c r="E51" s="373"/>
      <c r="F51" s="373"/>
      <c r="G51" s="374"/>
      <c r="H51" s="375"/>
      <c r="I51" s="303"/>
      <c r="J51" s="303"/>
      <c r="K51" s="303"/>
      <c r="L51" s="303"/>
      <c r="M51" s="303"/>
      <c r="N51" s="303"/>
      <c r="O51" s="303"/>
      <c r="P51" s="303"/>
      <c r="Q51" s="303"/>
      <c r="R51" s="303"/>
    </row>
    <row r="52" spans="2:34" ht="3" customHeight="1" thickTop="1" thickBot="1" x14ac:dyDescent="0.3">
      <c r="B52" s="561"/>
      <c r="C52" s="561"/>
      <c r="E52" s="362"/>
      <c r="F52" s="341"/>
      <c r="G52" s="341"/>
    </row>
    <row r="53" spans="2:34" ht="20.100000000000001" customHeight="1" thickTop="1" thickBot="1" x14ac:dyDescent="0.4">
      <c r="B53" s="561"/>
      <c r="C53" s="561"/>
      <c r="E53" s="326" t="s">
        <v>613</v>
      </c>
      <c r="F53" s="430"/>
      <c r="G53" s="430"/>
      <c r="H53" s="431"/>
      <c r="I53" s="431"/>
      <c r="J53" s="431"/>
      <c r="K53" s="431"/>
      <c r="L53" s="431"/>
      <c r="M53" s="431"/>
      <c r="N53" s="431"/>
      <c r="O53" s="431"/>
      <c r="P53" s="431"/>
      <c r="Q53" s="431"/>
      <c r="R53" s="432"/>
      <c r="U53" s="409"/>
      <c r="V53" s="410"/>
      <c r="W53" s="410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</row>
    <row r="54" spans="2:34" ht="15" customHeight="1" thickTop="1" thickBot="1" x14ac:dyDescent="0.4">
      <c r="B54" s="561"/>
      <c r="C54" s="561"/>
      <c r="E54" s="393" t="s">
        <v>609</v>
      </c>
      <c r="F54" s="393"/>
      <c r="G54" s="393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52"/>
      <c r="T54" s="352"/>
      <c r="U54" s="413"/>
      <c r="V54" s="414"/>
      <c r="W54" s="414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</row>
    <row r="55" spans="2:34" ht="27.95" customHeight="1" thickTop="1" thickBot="1" x14ac:dyDescent="0.3">
      <c r="B55" s="561"/>
      <c r="C55" s="561"/>
      <c r="E55" s="402" t="s">
        <v>443</v>
      </c>
      <c r="F55" s="695" t="s">
        <v>444</v>
      </c>
      <c r="G55" s="696"/>
      <c r="H55" s="433" t="s">
        <v>54</v>
      </c>
      <c r="I55" s="416">
        <v>0</v>
      </c>
      <c r="J55" s="416">
        <v>9</v>
      </c>
      <c r="K55" s="416">
        <v>8</v>
      </c>
      <c r="L55" s="416">
        <v>7</v>
      </c>
      <c r="M55" s="416">
        <v>6</v>
      </c>
      <c r="N55" s="416">
        <v>5</v>
      </c>
      <c r="O55" s="416">
        <v>4</v>
      </c>
      <c r="P55" s="416">
        <v>3</v>
      </c>
      <c r="Q55" s="416">
        <v>2</v>
      </c>
      <c r="R55" s="416">
        <v>1</v>
      </c>
      <c r="U55" s="417"/>
      <c r="V55" s="763"/>
      <c r="W55" s="763"/>
      <c r="X55" s="418"/>
      <c r="Y55" s="419"/>
      <c r="Z55" s="419"/>
      <c r="AA55" s="419"/>
      <c r="AB55" s="419"/>
      <c r="AC55" s="419"/>
      <c r="AD55" s="419"/>
      <c r="AE55" s="419"/>
      <c r="AF55" s="419"/>
      <c r="AG55" s="419"/>
      <c r="AH55" s="419"/>
    </row>
    <row r="56" spans="2:34" ht="15" customHeight="1" thickTop="1" thickBot="1" x14ac:dyDescent="0.3">
      <c r="B56" s="561"/>
      <c r="C56" s="561"/>
      <c r="E56" s="766" t="s">
        <v>584</v>
      </c>
      <c r="F56" s="766"/>
      <c r="G56" s="767"/>
      <c r="H56" s="328" t="s">
        <v>403</v>
      </c>
      <c r="I56" s="298">
        <v>17</v>
      </c>
      <c r="J56" s="298">
        <v>21</v>
      </c>
      <c r="K56" s="298">
        <v>22</v>
      </c>
      <c r="L56" s="298">
        <v>23</v>
      </c>
      <c r="M56" s="298">
        <v>24</v>
      </c>
      <c r="N56" s="298">
        <v>27</v>
      </c>
      <c r="O56" s="298">
        <v>28</v>
      </c>
      <c r="P56" s="298">
        <v>29</v>
      </c>
      <c r="Q56" s="298">
        <v>30</v>
      </c>
      <c r="R56" s="298">
        <v>31</v>
      </c>
      <c r="U56" s="771"/>
      <c r="V56" s="771"/>
      <c r="W56" s="771"/>
      <c r="X56" s="420"/>
      <c r="Y56" s="772"/>
      <c r="Z56" s="772"/>
      <c r="AA56" s="772"/>
      <c r="AB56" s="772"/>
      <c r="AC56" s="772"/>
      <c r="AD56" s="772"/>
      <c r="AE56" s="772"/>
      <c r="AF56" s="772"/>
      <c r="AG56" s="772"/>
      <c r="AH56" s="772"/>
    </row>
    <row r="57" spans="2:34" ht="27.95" customHeight="1" thickTop="1" thickBot="1" x14ac:dyDescent="0.3">
      <c r="B57" s="561"/>
      <c r="C57" s="561"/>
      <c r="E57" s="402" t="s">
        <v>445</v>
      </c>
      <c r="F57" s="702" t="s">
        <v>446</v>
      </c>
      <c r="G57" s="703"/>
      <c r="H57" s="434" t="s">
        <v>54</v>
      </c>
      <c r="I57" s="416">
        <v>0</v>
      </c>
      <c r="J57" s="416">
        <v>9</v>
      </c>
      <c r="K57" s="416">
        <v>8</v>
      </c>
      <c r="L57" s="416">
        <v>7</v>
      </c>
      <c r="M57" s="416">
        <v>6</v>
      </c>
      <c r="N57" s="416">
        <v>5</v>
      </c>
      <c r="O57" s="416">
        <v>4</v>
      </c>
      <c r="P57" s="416">
        <v>3</v>
      </c>
      <c r="Q57" s="416">
        <v>2</v>
      </c>
      <c r="R57" s="416">
        <v>1</v>
      </c>
      <c r="U57" s="417"/>
      <c r="V57" s="763"/>
      <c r="W57" s="763"/>
      <c r="X57" s="418"/>
      <c r="Y57" s="419"/>
      <c r="Z57" s="419"/>
      <c r="AA57" s="419"/>
      <c r="AB57" s="419"/>
      <c r="AC57" s="419"/>
      <c r="AD57" s="419"/>
      <c r="AE57" s="419"/>
      <c r="AF57" s="419"/>
      <c r="AG57" s="419"/>
      <c r="AH57" s="419"/>
    </row>
    <row r="58" spans="2:34" ht="15" customHeight="1" thickTop="1" thickBot="1" x14ac:dyDescent="0.3">
      <c r="B58" s="561"/>
      <c r="C58" s="561"/>
      <c r="E58" s="766" t="s">
        <v>585</v>
      </c>
      <c r="F58" s="766"/>
      <c r="G58" s="767"/>
      <c r="H58" s="328" t="s">
        <v>403</v>
      </c>
      <c r="I58" s="298">
        <v>17</v>
      </c>
      <c r="J58" s="298">
        <v>18</v>
      </c>
      <c r="K58" s="298">
        <v>19</v>
      </c>
      <c r="L58" s="298">
        <v>23</v>
      </c>
      <c r="M58" s="298">
        <v>24</v>
      </c>
      <c r="N58" s="298">
        <v>25</v>
      </c>
      <c r="O58" s="298">
        <v>26</v>
      </c>
      <c r="P58" s="298">
        <v>29</v>
      </c>
      <c r="Q58" s="298">
        <v>30</v>
      </c>
      <c r="R58" s="298">
        <v>31</v>
      </c>
      <c r="U58" s="771"/>
      <c r="V58" s="771"/>
      <c r="W58" s="771"/>
      <c r="X58" s="420"/>
      <c r="Y58" s="772"/>
      <c r="Z58" s="772"/>
      <c r="AA58" s="772"/>
      <c r="AB58" s="772"/>
      <c r="AC58" s="772"/>
      <c r="AD58" s="772"/>
      <c r="AE58" s="772"/>
      <c r="AF58" s="772"/>
      <c r="AG58" s="772"/>
      <c r="AH58" s="772"/>
    </row>
    <row r="59" spans="2:34" ht="27.95" customHeight="1" thickTop="1" thickBot="1" x14ac:dyDescent="0.3">
      <c r="B59" s="561"/>
      <c r="C59" s="561"/>
      <c r="E59" s="402" t="s">
        <v>447</v>
      </c>
      <c r="F59" s="702" t="s">
        <v>448</v>
      </c>
      <c r="G59" s="703"/>
      <c r="H59" s="434" t="s">
        <v>54</v>
      </c>
      <c r="I59" s="416">
        <v>0</v>
      </c>
      <c r="J59" s="416">
        <v>9</v>
      </c>
      <c r="K59" s="416">
        <v>8</v>
      </c>
      <c r="L59" s="416">
        <v>7</v>
      </c>
      <c r="M59" s="416">
        <v>6</v>
      </c>
      <c r="N59" s="416">
        <v>5</v>
      </c>
      <c r="O59" s="416">
        <v>4</v>
      </c>
      <c r="P59" s="416">
        <v>3</v>
      </c>
      <c r="Q59" s="416">
        <v>2</v>
      </c>
      <c r="R59" s="416">
        <v>1</v>
      </c>
      <c r="U59" s="417"/>
      <c r="V59" s="763"/>
      <c r="W59" s="763"/>
      <c r="X59" s="418"/>
      <c r="Y59" s="419"/>
      <c r="Z59" s="419"/>
      <c r="AA59" s="419"/>
      <c r="AB59" s="419"/>
      <c r="AC59" s="419"/>
      <c r="AD59" s="419"/>
      <c r="AE59" s="419"/>
      <c r="AF59" s="419"/>
      <c r="AG59" s="419"/>
      <c r="AH59" s="419"/>
    </row>
    <row r="60" spans="2:34" ht="15" customHeight="1" thickTop="1" thickBot="1" x14ac:dyDescent="0.3">
      <c r="B60" s="561"/>
      <c r="C60" s="561"/>
      <c r="E60" s="766" t="s">
        <v>586</v>
      </c>
      <c r="F60" s="766"/>
      <c r="G60" s="767"/>
      <c r="H60" s="328" t="s">
        <v>403</v>
      </c>
      <c r="I60" s="298">
        <v>17</v>
      </c>
      <c r="J60" s="298">
        <v>18</v>
      </c>
      <c r="K60" s="298">
        <v>19</v>
      </c>
      <c r="L60" s="298">
        <v>21</v>
      </c>
      <c r="M60" s="298">
        <v>24</v>
      </c>
      <c r="N60" s="298">
        <v>25</v>
      </c>
      <c r="O60" s="298">
        <v>26</v>
      </c>
      <c r="P60" s="298">
        <v>27</v>
      </c>
      <c r="Q60" s="298">
        <v>28</v>
      </c>
      <c r="R60" s="298">
        <v>31</v>
      </c>
      <c r="U60" s="771"/>
      <c r="V60" s="771"/>
      <c r="W60" s="771"/>
      <c r="X60" s="420"/>
      <c r="Y60" s="772"/>
      <c r="Z60" s="772"/>
      <c r="AA60" s="772"/>
      <c r="AB60" s="772"/>
      <c r="AC60" s="772"/>
      <c r="AD60" s="772"/>
      <c r="AE60" s="772"/>
      <c r="AF60" s="772"/>
      <c r="AG60" s="772"/>
      <c r="AH60" s="772"/>
    </row>
    <row r="61" spans="2:34" ht="27.95" customHeight="1" thickTop="1" thickBot="1" x14ac:dyDescent="0.3">
      <c r="B61" s="561"/>
      <c r="C61" s="561"/>
      <c r="E61" s="402" t="s">
        <v>449</v>
      </c>
      <c r="F61" s="702" t="s">
        <v>450</v>
      </c>
      <c r="G61" s="703"/>
      <c r="H61" s="434" t="s">
        <v>54</v>
      </c>
      <c r="I61" s="416">
        <v>0</v>
      </c>
      <c r="J61" s="416">
        <v>9</v>
      </c>
      <c r="K61" s="416">
        <v>8</v>
      </c>
      <c r="L61" s="416">
        <v>7</v>
      </c>
      <c r="M61" s="416">
        <v>6</v>
      </c>
      <c r="N61" s="416">
        <v>5</v>
      </c>
      <c r="O61" s="416">
        <v>4</v>
      </c>
      <c r="P61" s="416">
        <v>3</v>
      </c>
      <c r="Q61" s="416">
        <v>2</v>
      </c>
      <c r="R61" s="416">
        <v>1</v>
      </c>
      <c r="U61" s="417"/>
      <c r="V61" s="763"/>
      <c r="W61" s="763"/>
      <c r="X61" s="418"/>
      <c r="Y61" s="419"/>
      <c r="Z61" s="419"/>
      <c r="AA61" s="419"/>
      <c r="AB61" s="419"/>
      <c r="AC61" s="419"/>
      <c r="AD61" s="419"/>
      <c r="AE61" s="419"/>
      <c r="AF61" s="419"/>
      <c r="AG61" s="419"/>
      <c r="AH61" s="419"/>
    </row>
    <row r="62" spans="2:34" ht="15" customHeight="1" thickTop="1" thickBot="1" x14ac:dyDescent="0.3">
      <c r="B62" s="561"/>
      <c r="C62" s="561"/>
      <c r="E62" s="766" t="s">
        <v>587</v>
      </c>
      <c r="F62" s="766"/>
      <c r="G62" s="767"/>
      <c r="H62" s="328" t="s">
        <v>403</v>
      </c>
      <c r="I62" s="298">
        <v>18</v>
      </c>
      <c r="J62" s="298">
        <v>19</v>
      </c>
      <c r="K62" s="298">
        <v>20</v>
      </c>
      <c r="L62" s="298">
        <v>21</v>
      </c>
      <c r="M62" s="298">
        <v>22</v>
      </c>
      <c r="N62" s="298">
        <v>25</v>
      </c>
      <c r="O62" s="298">
        <v>26</v>
      </c>
      <c r="P62" s="298">
        <v>27</v>
      </c>
      <c r="Q62" s="298">
        <v>28</v>
      </c>
      <c r="R62" s="298">
        <v>29</v>
      </c>
      <c r="U62" s="771"/>
      <c r="V62" s="771"/>
      <c r="W62" s="771"/>
      <c r="X62" s="420"/>
      <c r="Y62" s="772"/>
      <c r="Z62" s="772"/>
      <c r="AA62" s="772"/>
      <c r="AB62" s="772"/>
      <c r="AC62" s="772"/>
      <c r="AD62" s="772"/>
      <c r="AE62" s="772"/>
      <c r="AF62" s="772"/>
      <c r="AG62" s="772"/>
      <c r="AH62" s="772"/>
    </row>
    <row r="63" spans="2:34" ht="27.95" customHeight="1" thickTop="1" thickBot="1" x14ac:dyDescent="0.3">
      <c r="B63" s="561"/>
      <c r="C63" s="561"/>
      <c r="E63" s="402" t="s">
        <v>451</v>
      </c>
      <c r="F63" s="702" t="s">
        <v>452</v>
      </c>
      <c r="G63" s="703"/>
      <c r="H63" s="434" t="s">
        <v>54</v>
      </c>
      <c r="I63" s="416">
        <v>0</v>
      </c>
      <c r="J63" s="416">
        <v>9</v>
      </c>
      <c r="K63" s="416">
        <v>8</v>
      </c>
      <c r="L63" s="416">
        <v>7</v>
      </c>
      <c r="M63" s="416">
        <v>6</v>
      </c>
      <c r="N63" s="416">
        <v>5</v>
      </c>
      <c r="O63" s="416">
        <v>4</v>
      </c>
      <c r="P63" s="416">
        <v>3</v>
      </c>
      <c r="Q63" s="416">
        <v>2</v>
      </c>
      <c r="R63" s="416">
        <v>1</v>
      </c>
      <c r="U63" s="417"/>
      <c r="V63" s="763"/>
      <c r="W63" s="763"/>
      <c r="X63" s="418"/>
      <c r="Y63" s="419"/>
      <c r="Z63" s="419"/>
      <c r="AA63" s="419"/>
      <c r="AB63" s="419"/>
      <c r="AC63" s="419"/>
      <c r="AD63" s="419"/>
      <c r="AE63" s="419"/>
      <c r="AF63" s="419"/>
      <c r="AG63" s="419"/>
      <c r="AH63" s="419"/>
    </row>
    <row r="64" spans="2:34" ht="15" customHeight="1" thickTop="1" thickBot="1" x14ac:dyDescent="0.3">
      <c r="B64" s="561"/>
      <c r="C64" s="561"/>
      <c r="E64" s="766" t="s">
        <v>588</v>
      </c>
      <c r="F64" s="766"/>
      <c r="G64" s="767"/>
      <c r="H64" s="328" t="s">
        <v>403</v>
      </c>
      <c r="I64" s="298">
        <v>17</v>
      </c>
      <c r="J64" s="298">
        <v>20</v>
      </c>
      <c r="K64" s="298">
        <v>21</v>
      </c>
      <c r="L64" s="298">
        <v>22</v>
      </c>
      <c r="M64" s="298">
        <v>23</v>
      </c>
      <c r="N64" s="298">
        <v>24</v>
      </c>
      <c r="O64" s="298">
        <v>27</v>
      </c>
      <c r="P64" s="298">
        <v>28</v>
      </c>
      <c r="Q64" s="298">
        <v>29</v>
      </c>
      <c r="R64" s="298">
        <v>30</v>
      </c>
      <c r="U64" s="771"/>
      <c r="V64" s="771"/>
      <c r="W64" s="771"/>
      <c r="X64" s="420"/>
      <c r="Y64" s="772"/>
      <c r="Z64" s="772"/>
      <c r="AA64" s="772"/>
      <c r="AB64" s="772"/>
      <c r="AC64" s="772"/>
      <c r="AD64" s="772"/>
      <c r="AE64" s="772"/>
      <c r="AF64" s="772"/>
      <c r="AG64" s="772"/>
      <c r="AH64" s="772"/>
    </row>
    <row r="65" spans="2:34" ht="27.95" customHeight="1" thickTop="1" thickBot="1" x14ac:dyDescent="0.3">
      <c r="B65" s="561"/>
      <c r="C65" s="561"/>
      <c r="E65" s="402" t="s">
        <v>468</v>
      </c>
      <c r="F65" s="702" t="s">
        <v>461</v>
      </c>
      <c r="G65" s="703"/>
      <c r="H65" s="434" t="s">
        <v>54</v>
      </c>
      <c r="I65" s="416">
        <v>0</v>
      </c>
      <c r="J65" s="416">
        <v>9</v>
      </c>
      <c r="K65" s="416">
        <v>8</v>
      </c>
      <c r="L65" s="416">
        <v>7</v>
      </c>
      <c r="M65" s="416">
        <v>6</v>
      </c>
      <c r="N65" s="416">
        <v>5</v>
      </c>
      <c r="O65" s="416">
        <v>4</v>
      </c>
      <c r="P65" s="416">
        <v>3</v>
      </c>
      <c r="Q65" s="416">
        <v>2</v>
      </c>
      <c r="R65" s="416">
        <v>1</v>
      </c>
      <c r="U65" s="417"/>
      <c r="V65" s="763"/>
      <c r="W65" s="763"/>
      <c r="X65" s="418"/>
      <c r="Y65" s="419"/>
      <c r="Z65" s="419"/>
      <c r="AA65" s="419"/>
      <c r="AB65" s="419"/>
      <c r="AC65" s="419"/>
      <c r="AD65" s="419"/>
      <c r="AE65" s="419"/>
      <c r="AF65" s="419"/>
      <c r="AG65" s="419"/>
      <c r="AH65" s="419"/>
    </row>
    <row r="66" spans="2:34" ht="15" customHeight="1" thickTop="1" thickBot="1" x14ac:dyDescent="0.3">
      <c r="B66" s="561"/>
      <c r="C66" s="561"/>
      <c r="E66" s="766" t="s">
        <v>602</v>
      </c>
      <c r="F66" s="766"/>
      <c r="G66" s="767"/>
      <c r="H66" s="370" t="s">
        <v>403</v>
      </c>
      <c r="I66" s="371">
        <v>18</v>
      </c>
      <c r="J66" s="371">
        <v>19</v>
      </c>
      <c r="K66" s="371">
        <v>22</v>
      </c>
      <c r="L66" s="371">
        <v>23</v>
      </c>
      <c r="M66" s="371">
        <v>24</v>
      </c>
      <c r="N66" s="371">
        <v>25</v>
      </c>
      <c r="O66" s="371">
        <v>26</v>
      </c>
      <c r="P66" s="371">
        <v>29</v>
      </c>
      <c r="Q66" s="371">
        <v>30</v>
      </c>
      <c r="R66" s="371">
        <v>31</v>
      </c>
      <c r="T66" s="287"/>
      <c r="U66" s="775"/>
      <c r="V66" s="775"/>
      <c r="W66" s="776"/>
      <c r="X66" s="420"/>
      <c r="Y66" s="772"/>
      <c r="Z66" s="772"/>
      <c r="AA66" s="772"/>
      <c r="AB66" s="772"/>
      <c r="AC66" s="772"/>
      <c r="AD66" s="772"/>
      <c r="AE66" s="772"/>
      <c r="AF66" s="772"/>
      <c r="AG66" s="772"/>
      <c r="AH66" s="772"/>
    </row>
    <row r="67" spans="2:34" ht="3" customHeight="1" thickTop="1" thickBot="1" x14ac:dyDescent="0.35">
      <c r="B67" s="561"/>
      <c r="C67" s="561"/>
      <c r="E67" s="373"/>
      <c r="F67" s="373"/>
      <c r="G67" s="374"/>
      <c r="H67" s="302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T67" s="289"/>
      <c r="U67" s="425"/>
      <c r="V67" s="425"/>
      <c r="W67" s="435"/>
      <c r="X67" s="350"/>
      <c r="Y67" s="351"/>
      <c r="Z67" s="351"/>
      <c r="AA67" s="351"/>
      <c r="AB67" s="351"/>
      <c r="AC67" s="351"/>
      <c r="AD67" s="351"/>
      <c r="AE67" s="351"/>
      <c r="AF67" s="351"/>
      <c r="AG67" s="351"/>
      <c r="AH67" s="351"/>
    </row>
    <row r="68" spans="2:34" ht="3" customHeight="1" thickTop="1" thickBot="1" x14ac:dyDescent="0.3">
      <c r="B68" s="561"/>
      <c r="C68" s="561"/>
      <c r="E68" s="341"/>
      <c r="F68" s="341"/>
      <c r="G68" s="341"/>
      <c r="T68" s="289"/>
      <c r="U68" s="10"/>
      <c r="V68" s="10"/>
      <c r="W68" s="30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</row>
    <row r="69" spans="2:34" ht="20.100000000000001" customHeight="1" thickTop="1" thickBot="1" x14ac:dyDescent="0.3">
      <c r="B69" s="561"/>
      <c r="C69" s="561"/>
      <c r="E69" s="326" t="s">
        <v>613</v>
      </c>
      <c r="F69" s="430"/>
      <c r="G69" s="430"/>
      <c r="H69" s="431"/>
      <c r="I69" s="431"/>
      <c r="J69" s="431"/>
      <c r="K69" s="431"/>
      <c r="L69" s="431"/>
      <c r="M69" s="431"/>
      <c r="N69" s="431"/>
      <c r="O69" s="431"/>
      <c r="P69" s="431"/>
      <c r="Q69" s="431"/>
      <c r="R69" s="432"/>
      <c r="S69" s="337"/>
      <c r="T69" s="287"/>
      <c r="U69" s="288"/>
      <c r="W69" s="286"/>
    </row>
    <row r="70" spans="2:34" ht="15" customHeight="1" thickTop="1" thickBot="1" x14ac:dyDescent="0.3">
      <c r="B70" s="561"/>
      <c r="C70" s="561"/>
      <c r="E70" s="393" t="s">
        <v>482</v>
      </c>
      <c r="F70" s="393"/>
      <c r="G70" s="393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52"/>
      <c r="T70" s="329"/>
      <c r="U70" s="330"/>
      <c r="W70" s="286"/>
    </row>
    <row r="71" spans="2:34" ht="27.95" customHeight="1" thickTop="1" thickBot="1" x14ac:dyDescent="0.3">
      <c r="B71" s="561"/>
      <c r="C71" s="561"/>
      <c r="E71" s="402" t="s">
        <v>443</v>
      </c>
      <c r="F71" s="695" t="s">
        <v>444</v>
      </c>
      <c r="G71" s="696"/>
      <c r="H71" s="773" t="s">
        <v>422</v>
      </c>
      <c r="I71" s="774"/>
      <c r="J71" s="774"/>
      <c r="K71" s="774"/>
      <c r="L71" s="774"/>
      <c r="M71" s="774"/>
      <c r="N71" s="774"/>
      <c r="O71" s="774"/>
      <c r="P71" s="774"/>
      <c r="Q71" s="774"/>
      <c r="R71" s="774"/>
      <c r="T71" s="289"/>
      <c r="W71" s="286"/>
    </row>
    <row r="72" spans="2:34" ht="15" customHeight="1" thickTop="1" thickBot="1" x14ac:dyDescent="0.3">
      <c r="B72" s="561"/>
      <c r="C72" s="561"/>
      <c r="E72" s="766" t="s">
        <v>584</v>
      </c>
      <c r="F72" s="766"/>
      <c r="G72" s="767"/>
      <c r="H72" s="777" t="s">
        <v>603</v>
      </c>
      <c r="I72" s="778"/>
      <c r="J72" s="778"/>
      <c r="K72" s="778"/>
      <c r="L72" s="778"/>
      <c r="M72" s="778"/>
      <c r="N72" s="778"/>
      <c r="O72" s="778"/>
      <c r="P72" s="778"/>
      <c r="Q72" s="778"/>
      <c r="R72" s="778"/>
      <c r="T72" s="289"/>
      <c r="W72" s="286"/>
    </row>
    <row r="73" spans="2:34" ht="27.95" customHeight="1" thickTop="1" thickBot="1" x14ac:dyDescent="0.3">
      <c r="B73" s="561"/>
      <c r="C73" s="561"/>
      <c r="E73" s="402" t="s">
        <v>445</v>
      </c>
      <c r="F73" s="702" t="s">
        <v>446</v>
      </c>
      <c r="G73" s="703"/>
      <c r="H73" s="773" t="s">
        <v>422</v>
      </c>
      <c r="I73" s="774"/>
      <c r="J73" s="774"/>
      <c r="K73" s="774"/>
      <c r="L73" s="774"/>
      <c r="M73" s="774"/>
      <c r="N73" s="774"/>
      <c r="O73" s="774"/>
      <c r="P73" s="774"/>
      <c r="Q73" s="774"/>
      <c r="R73" s="774"/>
      <c r="T73" s="289"/>
      <c r="W73" s="286"/>
    </row>
    <row r="74" spans="2:34" ht="15" customHeight="1" thickTop="1" thickBot="1" x14ac:dyDescent="0.3">
      <c r="B74" s="561"/>
      <c r="C74" s="561"/>
      <c r="E74" s="766" t="s">
        <v>585</v>
      </c>
      <c r="F74" s="766"/>
      <c r="G74" s="767"/>
      <c r="H74" s="777" t="s">
        <v>604</v>
      </c>
      <c r="I74" s="778"/>
      <c r="J74" s="778"/>
      <c r="K74" s="778"/>
      <c r="L74" s="778"/>
      <c r="M74" s="778"/>
      <c r="N74" s="778"/>
      <c r="O74" s="778"/>
      <c r="P74" s="778"/>
      <c r="Q74" s="778"/>
      <c r="R74" s="778"/>
      <c r="T74" s="289"/>
      <c r="W74" s="286"/>
    </row>
    <row r="75" spans="2:34" ht="27.95" customHeight="1" thickTop="1" thickBot="1" x14ac:dyDescent="0.3">
      <c r="B75" s="561"/>
      <c r="C75" s="561"/>
      <c r="E75" s="402" t="s">
        <v>447</v>
      </c>
      <c r="F75" s="702" t="s">
        <v>448</v>
      </c>
      <c r="G75" s="703"/>
      <c r="H75" s="773" t="s">
        <v>422</v>
      </c>
      <c r="I75" s="774"/>
      <c r="J75" s="774"/>
      <c r="K75" s="774"/>
      <c r="L75" s="774"/>
      <c r="M75" s="774"/>
      <c r="N75" s="774"/>
      <c r="O75" s="774"/>
      <c r="P75" s="774"/>
      <c r="Q75" s="774"/>
      <c r="R75" s="774"/>
      <c r="T75" s="289"/>
      <c r="W75" s="286"/>
    </row>
    <row r="76" spans="2:34" ht="15" customHeight="1" thickTop="1" thickBot="1" x14ac:dyDescent="0.3">
      <c r="B76" s="561"/>
      <c r="C76" s="561"/>
      <c r="E76" s="766" t="s">
        <v>586</v>
      </c>
      <c r="F76" s="766"/>
      <c r="G76" s="767"/>
      <c r="H76" s="777" t="s">
        <v>605</v>
      </c>
      <c r="I76" s="778"/>
      <c r="J76" s="778"/>
      <c r="K76" s="778"/>
      <c r="L76" s="778"/>
      <c r="M76" s="778"/>
      <c r="N76" s="778"/>
      <c r="O76" s="778"/>
      <c r="P76" s="778"/>
      <c r="Q76" s="778"/>
      <c r="R76" s="778"/>
      <c r="T76" s="289"/>
      <c r="W76" s="286"/>
    </row>
    <row r="77" spans="2:34" ht="27.95" customHeight="1" thickTop="1" thickBot="1" x14ac:dyDescent="0.3">
      <c r="B77" s="561"/>
      <c r="C77" s="561"/>
      <c r="E77" s="402" t="s">
        <v>449</v>
      </c>
      <c r="F77" s="702" t="s">
        <v>450</v>
      </c>
      <c r="G77" s="703"/>
      <c r="H77" s="773" t="s">
        <v>422</v>
      </c>
      <c r="I77" s="774"/>
      <c r="J77" s="774"/>
      <c r="K77" s="774"/>
      <c r="L77" s="774"/>
      <c r="M77" s="774"/>
      <c r="N77" s="774"/>
      <c r="O77" s="774"/>
      <c r="P77" s="774"/>
      <c r="Q77" s="774"/>
      <c r="R77" s="774"/>
      <c r="T77" s="289"/>
      <c r="W77" s="286"/>
    </row>
    <row r="78" spans="2:34" ht="15" customHeight="1" thickTop="1" thickBot="1" x14ac:dyDescent="0.3">
      <c r="B78" s="561"/>
      <c r="C78" s="561"/>
      <c r="E78" s="766" t="s">
        <v>587</v>
      </c>
      <c r="F78" s="766"/>
      <c r="G78" s="767"/>
      <c r="H78" s="777" t="s">
        <v>606</v>
      </c>
      <c r="I78" s="778"/>
      <c r="J78" s="778"/>
      <c r="K78" s="778"/>
      <c r="L78" s="778"/>
      <c r="M78" s="778"/>
      <c r="N78" s="778"/>
      <c r="O78" s="778"/>
      <c r="P78" s="778"/>
      <c r="Q78" s="778"/>
      <c r="R78" s="778"/>
      <c r="T78" s="289"/>
      <c r="W78" s="286"/>
    </row>
    <row r="79" spans="2:34" ht="27.95" customHeight="1" thickTop="1" thickBot="1" x14ac:dyDescent="0.3">
      <c r="B79" s="561"/>
      <c r="C79" s="561"/>
      <c r="E79" s="402" t="s">
        <v>451</v>
      </c>
      <c r="F79" s="702" t="s">
        <v>452</v>
      </c>
      <c r="G79" s="703"/>
      <c r="H79" s="773" t="s">
        <v>422</v>
      </c>
      <c r="I79" s="774"/>
      <c r="J79" s="774"/>
      <c r="K79" s="774"/>
      <c r="L79" s="774"/>
      <c r="M79" s="774"/>
      <c r="N79" s="774"/>
      <c r="O79" s="774"/>
      <c r="P79" s="774"/>
      <c r="Q79" s="774"/>
      <c r="R79" s="774"/>
      <c r="T79" s="289"/>
      <c r="W79" s="286"/>
    </row>
    <row r="80" spans="2:34" ht="15" customHeight="1" thickTop="1" thickBot="1" x14ac:dyDescent="0.3">
      <c r="B80" s="561"/>
      <c r="C80" s="561"/>
      <c r="E80" s="766" t="s">
        <v>588</v>
      </c>
      <c r="F80" s="766"/>
      <c r="G80" s="767"/>
      <c r="H80" s="777" t="s">
        <v>607</v>
      </c>
      <c r="I80" s="778"/>
      <c r="J80" s="778"/>
      <c r="K80" s="778"/>
      <c r="L80" s="778"/>
      <c r="M80" s="778"/>
      <c r="N80" s="778"/>
      <c r="O80" s="778"/>
      <c r="P80" s="778"/>
      <c r="Q80" s="778"/>
      <c r="R80" s="778"/>
      <c r="T80" s="289"/>
      <c r="W80" s="286"/>
    </row>
    <row r="81" spans="2:23" ht="27.95" customHeight="1" thickTop="1" thickBot="1" x14ac:dyDescent="0.3">
      <c r="B81" s="561"/>
      <c r="C81" s="561"/>
      <c r="E81" s="402" t="s">
        <v>483</v>
      </c>
      <c r="F81" s="702" t="s">
        <v>461</v>
      </c>
      <c r="G81" s="703"/>
      <c r="H81" s="773" t="s">
        <v>422</v>
      </c>
      <c r="I81" s="774"/>
      <c r="J81" s="774"/>
      <c r="K81" s="774"/>
      <c r="L81" s="774"/>
      <c r="M81" s="774"/>
      <c r="N81" s="774"/>
      <c r="O81" s="774"/>
      <c r="P81" s="774"/>
      <c r="Q81" s="774"/>
      <c r="R81" s="774"/>
      <c r="T81" s="289"/>
      <c r="W81" s="286"/>
    </row>
    <row r="82" spans="2:23" ht="15" customHeight="1" thickTop="1" thickBot="1" x14ac:dyDescent="0.3">
      <c r="B82" s="561"/>
      <c r="C82" s="561"/>
      <c r="E82" s="766" t="s">
        <v>602</v>
      </c>
      <c r="F82" s="766"/>
      <c r="G82" s="767"/>
      <c r="H82" s="777" t="s">
        <v>608</v>
      </c>
      <c r="I82" s="778"/>
      <c r="J82" s="778"/>
      <c r="K82" s="778"/>
      <c r="L82" s="778"/>
      <c r="M82" s="778"/>
      <c r="N82" s="778"/>
      <c r="O82" s="778"/>
      <c r="P82" s="778"/>
      <c r="Q82" s="778"/>
      <c r="R82" s="778"/>
      <c r="T82" s="289"/>
      <c r="W82" s="286"/>
    </row>
    <row r="83" spans="2:23" ht="3" customHeight="1" thickTop="1" thickBot="1" x14ac:dyDescent="0.3">
      <c r="E83" s="373"/>
      <c r="F83" s="374"/>
      <c r="G83" s="375"/>
      <c r="H83" s="375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T83" s="289"/>
      <c r="W83" s="286"/>
    </row>
    <row r="84" spans="2:23" ht="15.75" hidden="1" thickTop="1" x14ac:dyDescent="0.25">
      <c r="T84" s="289"/>
      <c r="W84" s="286"/>
    </row>
    <row r="85" spans="2:23" hidden="1" x14ac:dyDescent="0.25">
      <c r="T85" s="289"/>
      <c r="W85" s="286"/>
    </row>
    <row r="86" spans="2:23" hidden="1" x14ac:dyDescent="0.25">
      <c r="T86" s="289"/>
      <c r="W86" s="286"/>
    </row>
    <row r="87" spans="2:23" hidden="1" x14ac:dyDescent="0.25">
      <c r="T87" s="289"/>
      <c r="W87" s="286"/>
    </row>
    <row r="88" spans="2:23" hidden="1" x14ac:dyDescent="0.25">
      <c r="T88" s="289"/>
      <c r="W88" s="286"/>
    </row>
    <row r="89" spans="2:23" hidden="1" x14ac:dyDescent="0.25">
      <c r="T89" s="289"/>
      <c r="W89" s="286"/>
    </row>
    <row r="90" spans="2:23" hidden="1" x14ac:dyDescent="0.25">
      <c r="T90" s="289"/>
      <c r="W90" s="286"/>
    </row>
    <row r="91" spans="2:23" hidden="1" x14ac:dyDescent="0.25">
      <c r="T91" s="289"/>
      <c r="W91" s="286"/>
    </row>
    <row r="92" spans="2:23" hidden="1" x14ac:dyDescent="0.25">
      <c r="T92" s="289"/>
      <c r="W92" s="286"/>
    </row>
    <row r="93" spans="2:23" hidden="1" x14ac:dyDescent="0.25">
      <c r="T93" s="289"/>
      <c r="W93" s="286"/>
    </row>
    <row r="94" spans="2:23" hidden="1" x14ac:dyDescent="0.25">
      <c r="T94" s="289"/>
      <c r="W94" s="286"/>
    </row>
    <row r="95" spans="2:23" hidden="1" x14ac:dyDescent="0.25">
      <c r="T95" s="289"/>
      <c r="W95" s="286"/>
    </row>
    <row r="96" spans="2:23" hidden="1" x14ac:dyDescent="0.25">
      <c r="T96" s="289"/>
      <c r="W96" s="286"/>
    </row>
    <row r="97" spans="20:23" hidden="1" x14ac:dyDescent="0.25">
      <c r="T97" s="289"/>
      <c r="W97" s="286"/>
    </row>
    <row r="98" spans="20:23" hidden="1" x14ac:dyDescent="0.25">
      <c r="T98" s="289"/>
      <c r="W98" s="286"/>
    </row>
    <row r="99" spans="20:23" hidden="1" x14ac:dyDescent="0.25">
      <c r="T99" s="289"/>
      <c r="W99" s="286"/>
    </row>
    <row r="100" spans="20:23" hidden="1" x14ac:dyDescent="0.25">
      <c r="T100" s="289"/>
      <c r="W100" s="286"/>
    </row>
    <row r="101" spans="20:23" hidden="1" x14ac:dyDescent="0.25">
      <c r="T101" s="289"/>
      <c r="W101" s="286"/>
    </row>
    <row r="102" spans="20:23" hidden="1" x14ac:dyDescent="0.25">
      <c r="T102" s="289"/>
      <c r="W102" s="286"/>
    </row>
    <row r="103" spans="20:23" hidden="1" x14ac:dyDescent="0.25">
      <c r="T103" s="289"/>
      <c r="W103" s="286"/>
    </row>
    <row r="104" spans="20:23" hidden="1" x14ac:dyDescent="0.25">
      <c r="T104" s="289"/>
      <c r="W104" s="286"/>
    </row>
    <row r="105" spans="20:23" hidden="1" x14ac:dyDescent="0.25">
      <c r="T105" s="289"/>
      <c r="W105" s="286"/>
    </row>
    <row r="106" spans="20:23" hidden="1" x14ac:dyDescent="0.25">
      <c r="T106" s="289"/>
      <c r="W106" s="286"/>
    </row>
    <row r="107" spans="20:23" hidden="1" x14ac:dyDescent="0.25">
      <c r="T107" s="289"/>
      <c r="W107" s="286"/>
    </row>
    <row r="108" spans="20:23" hidden="1" x14ac:dyDescent="0.25">
      <c r="T108" s="289"/>
      <c r="W108" s="286"/>
    </row>
    <row r="109" spans="20:23" hidden="1" x14ac:dyDescent="0.25">
      <c r="T109" s="289"/>
      <c r="W109" s="286"/>
    </row>
    <row r="110" spans="20:23" hidden="1" x14ac:dyDescent="0.25">
      <c r="T110" s="289"/>
      <c r="W110" s="286"/>
    </row>
    <row r="111" spans="20:23" hidden="1" x14ac:dyDescent="0.25">
      <c r="T111" s="289"/>
      <c r="W111" s="286"/>
    </row>
    <row r="112" spans="20:23" hidden="1" x14ac:dyDescent="0.25">
      <c r="T112" s="289"/>
      <c r="W112" s="286"/>
    </row>
    <row r="113" spans="20:23" hidden="1" x14ac:dyDescent="0.25">
      <c r="T113" s="289"/>
      <c r="W113" s="286"/>
    </row>
    <row r="114" spans="20:23" hidden="1" x14ac:dyDescent="0.25">
      <c r="T114" s="289"/>
      <c r="W114" s="286"/>
    </row>
    <row r="115" spans="20:23" hidden="1" x14ac:dyDescent="0.25">
      <c r="T115" s="289"/>
      <c r="W115" s="286"/>
    </row>
    <row r="116" spans="20:23" hidden="1" x14ac:dyDescent="0.25">
      <c r="T116" s="289"/>
      <c r="W116" s="286"/>
    </row>
    <row r="117" spans="20:23" hidden="1" x14ac:dyDescent="0.25">
      <c r="T117" s="329"/>
      <c r="U117" s="352"/>
      <c r="V117" s="352"/>
      <c r="W117" s="330"/>
    </row>
  </sheetData>
  <sheetProtection algorithmName="SHA-512" hashValue="Ig/ajWBfBZaePc4eseNdiyXjZm342WCeW/SIpxNGutieQB+xUVDONaDchVIU5iF7KGzNZoYobf3fCen1Vn3sVA==" saltValue="3yEP3bU7C7cQEDZGQIbOFw==" spinCount="100000" sheet="1" objects="1" scenarios="1"/>
  <protectedRanges>
    <protectedRange algorithmName="SHA-512" hashValue="sypoR69yCCjEUql3zW3r8M0rxkzLBcqQbUdybxsLesr/3NxPXQg4lDX5MkygyX1rTthRq+5Id1PfZfiJoCFGow==" saltValue="90eVkKdz5VeUsInku/Isew==" spinCount="100000" sqref="E19:R82" name="ICAbarranquilla"/>
  </protectedRanges>
  <mergeCells count="100">
    <mergeCell ref="E80:G80"/>
    <mergeCell ref="F81:G81"/>
    <mergeCell ref="E82:G82"/>
    <mergeCell ref="H81:R81"/>
    <mergeCell ref="H80:R80"/>
    <mergeCell ref="H82:R82"/>
    <mergeCell ref="H73:R73"/>
    <mergeCell ref="H75:R75"/>
    <mergeCell ref="H77:R77"/>
    <mergeCell ref="H79:R79"/>
    <mergeCell ref="H72:R72"/>
    <mergeCell ref="H74:R74"/>
    <mergeCell ref="H76:R76"/>
    <mergeCell ref="H78:R78"/>
    <mergeCell ref="F79:G79"/>
    <mergeCell ref="E72:G72"/>
    <mergeCell ref="F73:G73"/>
    <mergeCell ref="E74:G74"/>
    <mergeCell ref="F75:G75"/>
    <mergeCell ref="E76:G76"/>
    <mergeCell ref="F77:G77"/>
    <mergeCell ref="E78:G78"/>
    <mergeCell ref="F71:G71"/>
    <mergeCell ref="E62:G62"/>
    <mergeCell ref="U62:W62"/>
    <mergeCell ref="Y62:AH62"/>
    <mergeCell ref="F63:G63"/>
    <mergeCell ref="V63:W63"/>
    <mergeCell ref="E64:G64"/>
    <mergeCell ref="U64:W64"/>
    <mergeCell ref="Y64:AH64"/>
    <mergeCell ref="H71:R71"/>
    <mergeCell ref="F65:G65"/>
    <mergeCell ref="V65:W65"/>
    <mergeCell ref="E66:G66"/>
    <mergeCell ref="U66:W66"/>
    <mergeCell ref="Y66:AH66"/>
    <mergeCell ref="F61:G61"/>
    <mergeCell ref="V61:W61"/>
    <mergeCell ref="Y56:AH56"/>
    <mergeCell ref="F57:G57"/>
    <mergeCell ref="V57:W57"/>
    <mergeCell ref="E58:G58"/>
    <mergeCell ref="U58:W58"/>
    <mergeCell ref="Y58:AH58"/>
    <mergeCell ref="F59:G59"/>
    <mergeCell ref="V59:W59"/>
    <mergeCell ref="E60:G60"/>
    <mergeCell ref="U60:W60"/>
    <mergeCell ref="Y60:AH60"/>
    <mergeCell ref="F55:G55"/>
    <mergeCell ref="V55:W55"/>
    <mergeCell ref="E56:G56"/>
    <mergeCell ref="U56:W56"/>
    <mergeCell ref="E50:G50"/>
    <mergeCell ref="E49:G49"/>
    <mergeCell ref="E36:G36"/>
    <mergeCell ref="U36:W36"/>
    <mergeCell ref="E37:G37"/>
    <mergeCell ref="V37:W37"/>
    <mergeCell ref="E38:G38"/>
    <mergeCell ref="U38:W38"/>
    <mergeCell ref="E39:G39"/>
    <mergeCell ref="E40:G40"/>
    <mergeCell ref="E41:G41"/>
    <mergeCell ref="E42:G42"/>
    <mergeCell ref="E43:G43"/>
    <mergeCell ref="E44:G44"/>
    <mergeCell ref="E45:G45"/>
    <mergeCell ref="E46:G46"/>
    <mergeCell ref="E47:G47"/>
    <mergeCell ref="E34:G34"/>
    <mergeCell ref="U34:W34"/>
    <mergeCell ref="E35:G35"/>
    <mergeCell ref="V35:W35"/>
    <mergeCell ref="E48:G48"/>
    <mergeCell ref="E31:G31"/>
    <mergeCell ref="V31:W31"/>
    <mergeCell ref="E32:G32"/>
    <mergeCell ref="U32:W32"/>
    <mergeCell ref="E33:G33"/>
    <mergeCell ref="V33:W33"/>
    <mergeCell ref="E28:G28"/>
    <mergeCell ref="U28:W28"/>
    <mergeCell ref="E29:G29"/>
    <mergeCell ref="V29:W29"/>
    <mergeCell ref="E30:G30"/>
    <mergeCell ref="U30:W30"/>
    <mergeCell ref="E7:R7"/>
    <mergeCell ref="E9:R9"/>
    <mergeCell ref="E10:R18"/>
    <mergeCell ref="E27:G27"/>
    <mergeCell ref="V27:W27"/>
    <mergeCell ref="E21:G21"/>
    <mergeCell ref="E22:G22"/>
    <mergeCell ref="B21:C82"/>
    <mergeCell ref="B7:C7"/>
    <mergeCell ref="B9:B20"/>
    <mergeCell ref="B1:C4"/>
    <mergeCell ref="B5:C6"/>
  </mergeCells>
  <hyperlinks>
    <hyperlink ref="B9:B20" location="Anual!A1" display="Calendario" xr:uid="{C0664AE7-2D12-49E4-B77B-1B9F95DCCB29}"/>
    <hyperlink ref="C9" location="Enero!A1" display="Enero" xr:uid="{4A921EAB-5E01-45B0-9A31-383AB7C3221A}"/>
    <hyperlink ref="C10" location="Febrero!A1" display="Febrero" xr:uid="{31493623-1302-4E01-8DD6-601DE6041036}"/>
    <hyperlink ref="C11" location="Marzo!A1" display="Marzo" xr:uid="{ECD221D9-3E7B-4DE5-8B69-AA11C849547A}"/>
    <hyperlink ref="C12" location="Abril!A1" display="Abril" xr:uid="{5CCF87CE-E92A-47C2-8051-E955567C7C9C}"/>
    <hyperlink ref="C13" location="Mayo!A1" display="Mayo" xr:uid="{372AF869-C631-4328-B88D-F4303F5DC84F}"/>
    <hyperlink ref="C14" location="Junio!A1" display="Junio" xr:uid="{516633EA-0561-4D61-9BD3-2CADB00B6E68}"/>
    <hyperlink ref="C15" location="Julio!A1" display="Julio" xr:uid="{CBA8A1D0-BEDB-4D36-AB27-DA4144A1C718}"/>
    <hyperlink ref="C16" location="Agosto!A1" display="Agosto" xr:uid="{2141A585-B6EF-4212-8DA2-748D6E8F8FDC}"/>
    <hyperlink ref="C17" location="Septiembre!A1" display="Septiembre" xr:uid="{8D6940F5-57D6-4890-9C66-D19034F6E1E0}"/>
    <hyperlink ref="C18" location="Octubre!A1" display="Octubre" xr:uid="{0CC9039F-965E-4844-8DAF-6504A39966FD}"/>
    <hyperlink ref="C19" location="Noviembre!A1" display="Noviembre" xr:uid="{FC609060-434F-438A-AE98-0CAF0F239984}"/>
    <hyperlink ref="C20" location="Diciembre!A1" display="Diciembre" xr:uid="{F344FF38-B447-44FB-97B9-BC1103EAECF1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845C0-8828-4797-89FE-9D1E0234BD1E}">
  <dimension ref="A1:R50"/>
  <sheetViews>
    <sheetView showGridLines="0" showRowColHeaders="0" zoomScale="173" zoomScaleNormal="173" workbookViewId="0">
      <pane ySplit="7" topLeftCell="A24" activePane="bottomLeft" state="frozen"/>
      <selection pane="bottomLeft"/>
    </sheetView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28.7109375" customWidth="1"/>
    <col min="6" max="6" width="10.7109375" customWidth="1"/>
    <col min="7" max="7" width="1" customWidth="1"/>
    <col min="8" max="8" width="12.140625" customWidth="1"/>
    <col min="9" max="9" width="18.28515625" customWidth="1"/>
    <col min="10" max="10" width="10.7109375" style="503" customWidth="1"/>
    <col min="11" max="11" width="0.42578125" customWidth="1"/>
    <col min="12" max="18" width="0" hidden="1" customWidth="1"/>
    <col min="19" max="16384" width="11.42578125" hidden="1"/>
  </cols>
  <sheetData>
    <row r="1" spans="2:10" x14ac:dyDescent="0.25">
      <c r="B1" s="546"/>
      <c r="C1" s="546"/>
    </row>
    <row r="2" spans="2:10" x14ac:dyDescent="0.25">
      <c r="B2" s="546"/>
      <c r="C2" s="546"/>
    </row>
    <row r="3" spans="2:10" x14ac:dyDescent="0.25">
      <c r="B3" s="546"/>
      <c r="C3" s="546"/>
    </row>
    <row r="4" spans="2:10" x14ac:dyDescent="0.25">
      <c r="B4" s="546"/>
      <c r="C4" s="546"/>
    </row>
    <row r="5" spans="2:10" x14ac:dyDescent="0.25">
      <c r="B5" s="546"/>
      <c r="C5" s="546"/>
      <c r="E5" s="780" t="s">
        <v>678</v>
      </c>
      <c r="F5" s="780"/>
      <c r="G5" s="780"/>
      <c r="H5" s="780"/>
      <c r="I5" s="780"/>
      <c r="J5" s="780"/>
    </row>
    <row r="6" spans="2:10" x14ac:dyDescent="0.25">
      <c r="B6" s="563" t="s">
        <v>47</v>
      </c>
      <c r="C6" s="563"/>
      <c r="E6" s="780"/>
      <c r="F6" s="780"/>
      <c r="G6" s="780"/>
      <c r="H6" s="780"/>
      <c r="I6" s="780"/>
      <c r="J6" s="780"/>
    </row>
    <row r="7" spans="2:10" x14ac:dyDescent="0.25">
      <c r="B7" s="563"/>
      <c r="C7" s="563"/>
      <c r="E7" s="546"/>
      <c r="F7" s="546"/>
      <c r="G7" s="546"/>
      <c r="H7" s="546"/>
      <c r="I7" s="546"/>
      <c r="J7" s="546"/>
    </row>
    <row r="8" spans="2:10" x14ac:dyDescent="0.25">
      <c r="B8" s="555" t="s">
        <v>67</v>
      </c>
      <c r="C8" s="556"/>
      <c r="E8" s="546"/>
      <c r="F8" s="546"/>
      <c r="G8" s="546"/>
      <c r="H8" s="546"/>
      <c r="I8" s="546"/>
      <c r="J8" s="546"/>
    </row>
    <row r="9" spans="2:10" x14ac:dyDescent="0.25">
      <c r="B9" s="173"/>
      <c r="C9" s="172" t="s">
        <v>51</v>
      </c>
      <c r="E9" s="546"/>
      <c r="F9" s="546"/>
      <c r="G9" s="546"/>
      <c r="H9" s="546"/>
      <c r="I9" s="546"/>
      <c r="J9" s="546"/>
    </row>
    <row r="10" spans="2:10" x14ac:dyDescent="0.25">
      <c r="B10" s="557" t="s">
        <v>52</v>
      </c>
      <c r="C10" s="159" t="s">
        <v>53</v>
      </c>
      <c r="E10" s="546"/>
      <c r="F10" s="546"/>
      <c r="G10" s="546"/>
      <c r="H10" s="546"/>
      <c r="I10" s="546"/>
      <c r="J10" s="546"/>
    </row>
    <row r="11" spans="2:10" x14ac:dyDescent="0.25">
      <c r="B11" s="558"/>
      <c r="C11" s="160" t="s">
        <v>56</v>
      </c>
      <c r="E11" s="546"/>
      <c r="F11" s="546"/>
      <c r="G11" s="546"/>
      <c r="H11" s="546"/>
      <c r="I11" s="546"/>
      <c r="J11" s="546"/>
    </row>
    <row r="12" spans="2:10" x14ac:dyDescent="0.25">
      <c r="B12" s="558"/>
      <c r="C12" s="160" t="s">
        <v>57</v>
      </c>
      <c r="E12" s="546"/>
      <c r="F12" s="546"/>
      <c r="G12" s="546"/>
      <c r="H12" s="546"/>
      <c r="I12" s="546"/>
      <c r="J12" s="546"/>
    </row>
    <row r="13" spans="2:10" x14ac:dyDescent="0.25">
      <c r="B13" s="558"/>
      <c r="C13" s="160" t="s">
        <v>58</v>
      </c>
      <c r="E13" s="546"/>
      <c r="F13" s="546"/>
      <c r="G13" s="546"/>
      <c r="H13" s="546"/>
      <c r="I13" s="546"/>
      <c r="J13" s="546"/>
    </row>
    <row r="14" spans="2:10" x14ac:dyDescent="0.25">
      <c r="B14" s="558"/>
      <c r="C14" s="160" t="s">
        <v>59</v>
      </c>
      <c r="E14" s="546"/>
      <c r="F14" s="546"/>
      <c r="G14" s="546"/>
      <c r="H14" s="546"/>
      <c r="I14" s="546"/>
      <c r="J14" s="546"/>
    </row>
    <row r="15" spans="2:10" x14ac:dyDescent="0.25">
      <c r="B15" s="558"/>
      <c r="C15" s="160" t="s">
        <v>60</v>
      </c>
      <c r="E15" s="546"/>
      <c r="F15" s="546"/>
      <c r="G15" s="546"/>
      <c r="H15" s="546"/>
      <c r="I15" s="546"/>
      <c r="J15" s="546"/>
    </row>
    <row r="16" spans="2:10" x14ac:dyDescent="0.25">
      <c r="B16" s="558"/>
      <c r="C16" s="160" t="s">
        <v>61</v>
      </c>
      <c r="E16" s="546"/>
      <c r="F16" s="546"/>
      <c r="G16" s="546"/>
      <c r="H16" s="546"/>
      <c r="I16" s="546"/>
      <c r="J16" s="546"/>
    </row>
    <row r="17" spans="2:13" x14ac:dyDescent="0.25">
      <c r="B17" s="558"/>
      <c r="C17" s="160" t="s">
        <v>62</v>
      </c>
      <c r="E17" s="546"/>
      <c r="F17" s="546"/>
      <c r="G17" s="546"/>
      <c r="H17" s="546"/>
      <c r="I17" s="546"/>
      <c r="J17" s="546"/>
    </row>
    <row r="18" spans="2:13" x14ac:dyDescent="0.25">
      <c r="B18" s="558"/>
      <c r="C18" s="160" t="s">
        <v>63</v>
      </c>
      <c r="E18" s="504" t="s">
        <v>619</v>
      </c>
      <c r="F18" s="505"/>
      <c r="H18" s="504" t="s">
        <v>620</v>
      </c>
      <c r="I18" s="505"/>
      <c r="J18" s="506"/>
    </row>
    <row r="19" spans="2:13" ht="15" customHeight="1" x14ac:dyDescent="0.25">
      <c r="B19" s="558"/>
      <c r="C19" s="160" t="s">
        <v>64</v>
      </c>
    </row>
    <row r="20" spans="2:13" ht="15" customHeight="1" x14ac:dyDescent="0.25">
      <c r="B20" s="558"/>
      <c r="C20" s="160" t="s">
        <v>65</v>
      </c>
      <c r="E20" s="507" t="s">
        <v>621</v>
      </c>
      <c r="F20" s="507" t="s">
        <v>622</v>
      </c>
      <c r="G20" s="352"/>
      <c r="H20" s="790" t="s">
        <v>621</v>
      </c>
      <c r="I20" s="791"/>
      <c r="J20" s="508" t="s">
        <v>622</v>
      </c>
      <c r="K20" s="352"/>
    </row>
    <row r="21" spans="2:13" ht="15" customHeight="1" thickBot="1" x14ac:dyDescent="0.3">
      <c r="B21" s="558"/>
      <c r="C21" s="160" t="s">
        <v>66</v>
      </c>
      <c r="E21" s="509" t="s">
        <v>702</v>
      </c>
      <c r="F21" s="510">
        <v>42412</v>
      </c>
      <c r="H21" s="792" t="s">
        <v>700</v>
      </c>
      <c r="I21" s="792"/>
      <c r="J21" s="510">
        <v>1160000</v>
      </c>
      <c r="L21" s="286"/>
    </row>
    <row r="22" spans="2:13" ht="16.5" thickTop="1" thickBot="1" x14ac:dyDescent="0.3">
      <c r="B22" s="688"/>
      <c r="C22" s="688"/>
      <c r="E22" s="511" t="s">
        <v>623</v>
      </c>
      <c r="F22" s="512">
        <f>ROUND((F21*10),-3)</f>
        <v>424000</v>
      </c>
      <c r="H22" s="793" t="s">
        <v>701</v>
      </c>
      <c r="I22" s="793"/>
      <c r="J22" s="512">
        <v>140606</v>
      </c>
    </row>
    <row r="23" spans="2:13" ht="28.5" thickTop="1" thickBot="1" x14ac:dyDescent="0.3">
      <c r="B23" s="688"/>
      <c r="C23" s="688"/>
      <c r="E23" s="511" t="s">
        <v>624</v>
      </c>
      <c r="F23" s="512">
        <f>ROUND((F21*3500),-3)</f>
        <v>148442000</v>
      </c>
      <c r="H23" s="779" t="s">
        <v>660</v>
      </c>
      <c r="I23" s="511" t="s">
        <v>625</v>
      </c>
      <c r="J23" s="512">
        <f>J21/240</f>
        <v>4833.333333333333</v>
      </c>
    </row>
    <row r="24" spans="2:13" ht="28.5" thickTop="1" thickBot="1" x14ac:dyDescent="0.3">
      <c r="B24" s="688"/>
      <c r="C24" s="688"/>
      <c r="E24" s="511" t="s">
        <v>626</v>
      </c>
      <c r="F24" s="512">
        <f>F23</f>
        <v>148442000</v>
      </c>
      <c r="H24" s="779"/>
      <c r="I24" s="511" t="s">
        <v>627</v>
      </c>
      <c r="J24" s="512">
        <f>J23*1.35</f>
        <v>6525</v>
      </c>
      <c r="M24" s="513"/>
    </row>
    <row r="25" spans="2:13" ht="16.5" thickTop="1" thickBot="1" x14ac:dyDescent="0.3">
      <c r="B25" s="688"/>
      <c r="C25" s="688"/>
      <c r="E25" s="511" t="s">
        <v>663</v>
      </c>
      <c r="F25" s="514">
        <v>4810.2</v>
      </c>
      <c r="H25" s="779"/>
      <c r="I25" s="511" t="s">
        <v>629</v>
      </c>
      <c r="J25" s="512">
        <f>J23*1.25</f>
        <v>6041.6666666666661</v>
      </c>
    </row>
    <row r="26" spans="2:13" ht="16.5" thickTop="1" thickBot="1" x14ac:dyDescent="0.3">
      <c r="B26" s="688"/>
      <c r="C26" s="688"/>
      <c r="E26" s="511" t="s">
        <v>628</v>
      </c>
      <c r="F26" s="514">
        <v>3981.16</v>
      </c>
      <c r="H26" s="779"/>
      <c r="I26" s="511" t="s">
        <v>630</v>
      </c>
      <c r="J26" s="512">
        <f>J23*1.75</f>
        <v>8458.3333333333321</v>
      </c>
    </row>
    <row r="27" spans="2:13" ht="16.5" thickTop="1" thickBot="1" x14ac:dyDescent="0.3">
      <c r="B27" s="688"/>
      <c r="C27" s="688"/>
      <c r="E27" s="511" t="s">
        <v>665</v>
      </c>
      <c r="F27" s="515">
        <v>0.12</v>
      </c>
      <c r="H27" s="779"/>
      <c r="I27" s="511" t="s">
        <v>671</v>
      </c>
      <c r="J27" s="512">
        <f>(J25-J23)+(J23*1.75)</f>
        <v>9666.6666666666642</v>
      </c>
    </row>
    <row r="28" spans="2:13" ht="16.5" thickTop="1" thickBot="1" x14ac:dyDescent="0.3">
      <c r="B28" s="688"/>
      <c r="C28" s="688"/>
      <c r="E28" s="511" t="s">
        <v>664</v>
      </c>
      <c r="F28" s="515">
        <v>4.2500000000000003E-2</v>
      </c>
      <c r="H28" s="779"/>
      <c r="I28" s="511" t="s">
        <v>631</v>
      </c>
      <c r="J28" s="512">
        <f>(J26-J23)+(J23*1.75)</f>
        <v>12083.333333333332</v>
      </c>
    </row>
    <row r="29" spans="2:13" ht="19.5" thickTop="1" thickBot="1" x14ac:dyDescent="0.3">
      <c r="B29" s="688"/>
      <c r="C29" s="688"/>
      <c r="E29" s="511" t="s">
        <v>676</v>
      </c>
      <c r="F29" s="515">
        <v>4.6699999999999998E-2</v>
      </c>
      <c r="H29" s="794" t="s">
        <v>632</v>
      </c>
      <c r="I29" s="794"/>
      <c r="J29" s="512">
        <f>(J21*10)+((J21*10)*0.3)</f>
        <v>15080000</v>
      </c>
    </row>
    <row r="30" spans="2:13" ht="16.5" thickTop="1" thickBot="1" x14ac:dyDescent="0.3">
      <c r="B30" s="688"/>
      <c r="C30" s="688"/>
      <c r="E30" s="511" t="s">
        <v>667</v>
      </c>
      <c r="F30" s="515">
        <v>0.13100000000000001</v>
      </c>
      <c r="H30" s="779" t="s">
        <v>633</v>
      </c>
      <c r="I30" s="511" t="s">
        <v>634</v>
      </c>
      <c r="J30" s="516">
        <v>0.02</v>
      </c>
    </row>
    <row r="31" spans="2:13" ht="16.5" thickTop="1" thickBot="1" x14ac:dyDescent="0.3">
      <c r="B31" s="688"/>
      <c r="C31" s="688"/>
      <c r="E31" s="511" t="s">
        <v>666</v>
      </c>
      <c r="F31" s="515">
        <v>5.62E-2</v>
      </c>
      <c r="H31" s="779"/>
      <c r="I31" s="511" t="s">
        <v>635</v>
      </c>
      <c r="J31" s="516">
        <v>0.03</v>
      </c>
    </row>
    <row r="32" spans="2:13" ht="19.5" thickTop="1" thickBot="1" x14ac:dyDescent="0.3">
      <c r="B32" s="688"/>
      <c r="C32" s="688"/>
      <c r="E32" s="511" t="s">
        <v>703</v>
      </c>
      <c r="F32" s="517">
        <v>60</v>
      </c>
      <c r="H32" s="518" t="s">
        <v>636</v>
      </c>
      <c r="I32" s="511" t="s">
        <v>637</v>
      </c>
      <c r="J32" s="516">
        <v>0.04</v>
      </c>
    </row>
    <row r="33" spans="2:18" ht="16.5" thickTop="1" thickBot="1" x14ac:dyDescent="0.3">
      <c r="B33" s="688"/>
      <c r="C33" s="688"/>
      <c r="E33" s="511" t="s">
        <v>638</v>
      </c>
      <c r="F33" s="516">
        <v>0.19</v>
      </c>
      <c r="H33" s="781" t="s">
        <v>639</v>
      </c>
      <c r="I33" s="511" t="s">
        <v>640</v>
      </c>
      <c r="J33" s="516">
        <v>8.3299999999999999E-2</v>
      </c>
    </row>
    <row r="34" spans="2:18" ht="16.5" thickTop="1" thickBot="1" x14ac:dyDescent="0.3">
      <c r="B34" s="688"/>
      <c r="C34" s="688"/>
      <c r="E34" s="511" t="s">
        <v>668</v>
      </c>
      <c r="F34" s="516">
        <v>0.35</v>
      </c>
      <c r="H34" s="782"/>
      <c r="I34" s="511" t="s">
        <v>641</v>
      </c>
      <c r="J34" s="516">
        <v>0.12</v>
      </c>
    </row>
    <row r="35" spans="2:18" ht="16.5" thickTop="1" thickBot="1" x14ac:dyDescent="0.3">
      <c r="B35" s="688"/>
      <c r="C35" s="688"/>
      <c r="E35" s="511" t="s">
        <v>669</v>
      </c>
      <c r="F35" s="516">
        <v>0.15</v>
      </c>
      <c r="H35" s="782"/>
      <c r="I35" s="511" t="s">
        <v>642</v>
      </c>
      <c r="J35" s="516">
        <v>8.3299999999999999E-2</v>
      </c>
    </row>
    <row r="36" spans="2:18" ht="16.5" thickTop="1" thickBot="1" x14ac:dyDescent="0.3">
      <c r="B36" s="688"/>
      <c r="C36" s="688"/>
      <c r="E36" s="511" t="s">
        <v>672</v>
      </c>
      <c r="F36" s="516">
        <v>0.35</v>
      </c>
      <c r="H36" s="783"/>
      <c r="I36" s="511" t="s">
        <v>643</v>
      </c>
      <c r="J36" s="516">
        <v>4.1700000000000001E-2</v>
      </c>
    </row>
    <row r="37" spans="2:18" ht="16.5" thickTop="1" thickBot="1" x14ac:dyDescent="0.3">
      <c r="B37" s="688"/>
      <c r="C37" s="688"/>
      <c r="E37" s="511" t="s">
        <v>673</v>
      </c>
      <c r="F37" s="516">
        <v>0.1</v>
      </c>
      <c r="H37" s="779" t="s">
        <v>704</v>
      </c>
      <c r="I37" s="511" t="s">
        <v>644</v>
      </c>
      <c r="J37" s="516">
        <v>8.5000000000000006E-2</v>
      </c>
    </row>
    <row r="38" spans="2:18" ht="19.5" thickTop="1" thickBot="1" x14ac:dyDescent="0.3">
      <c r="B38" s="688"/>
      <c r="C38" s="688"/>
      <c r="E38" s="511" t="s">
        <v>674</v>
      </c>
      <c r="F38" s="516">
        <v>0.2</v>
      </c>
      <c r="H38" s="779"/>
      <c r="I38" s="511" t="s">
        <v>645</v>
      </c>
      <c r="J38" s="516">
        <v>0.12</v>
      </c>
    </row>
    <row r="39" spans="2:18" ht="16.5" thickTop="1" thickBot="1" x14ac:dyDescent="0.3">
      <c r="B39" s="688"/>
      <c r="C39" s="688"/>
      <c r="E39" s="511" t="s">
        <v>646</v>
      </c>
      <c r="F39" s="516">
        <v>0.2</v>
      </c>
      <c r="H39" s="781" t="s">
        <v>647</v>
      </c>
      <c r="I39" s="511" t="s">
        <v>644</v>
      </c>
      <c r="J39" s="516">
        <v>0.04</v>
      </c>
    </row>
    <row r="40" spans="2:18" ht="18" customHeight="1" thickTop="1" thickBot="1" x14ac:dyDescent="0.3">
      <c r="B40" s="688"/>
      <c r="C40" s="688"/>
      <c r="E40" s="511" t="s">
        <v>648</v>
      </c>
      <c r="F40" s="519">
        <v>0</v>
      </c>
      <c r="H40" s="782"/>
      <c r="I40" s="511" t="s">
        <v>645</v>
      </c>
      <c r="J40" s="516">
        <v>0.04</v>
      </c>
    </row>
    <row r="41" spans="2:18" ht="19.5" thickTop="1" thickBot="1" x14ac:dyDescent="0.3">
      <c r="B41" s="688"/>
      <c r="C41" s="688"/>
      <c r="E41" s="511" t="s">
        <v>675</v>
      </c>
      <c r="F41" s="516">
        <v>3.2099999999999997E-2</v>
      </c>
      <c r="H41" s="783"/>
      <c r="I41" s="511" t="s">
        <v>649</v>
      </c>
      <c r="J41" s="516">
        <v>0.01</v>
      </c>
    </row>
    <row r="42" spans="2:18" ht="16.5" thickTop="1" thickBot="1" x14ac:dyDescent="0.3">
      <c r="B42" s="688"/>
      <c r="C42" s="688"/>
      <c r="E42" s="788"/>
      <c r="F42" s="789"/>
      <c r="H42" s="781" t="s">
        <v>650</v>
      </c>
      <c r="I42" s="511" t="s">
        <v>651</v>
      </c>
      <c r="J42" s="516">
        <v>5.2199999999999998E-3</v>
      </c>
    </row>
    <row r="43" spans="2:18" ht="15" customHeight="1" thickTop="1" thickBot="1" x14ac:dyDescent="0.3">
      <c r="B43" s="688"/>
      <c r="C43" s="688"/>
      <c r="E43" s="784" t="s">
        <v>661</v>
      </c>
      <c r="F43" s="785"/>
      <c r="H43" s="782"/>
      <c r="I43" s="511" t="s">
        <v>652</v>
      </c>
      <c r="J43" s="516">
        <v>1.044E-2</v>
      </c>
    </row>
    <row r="44" spans="2:18" ht="15" customHeight="1" thickTop="1" thickBot="1" x14ac:dyDescent="0.3">
      <c r="B44" s="688"/>
      <c r="C44" s="688"/>
      <c r="E44" s="786"/>
      <c r="F44" s="787"/>
      <c r="H44" s="782"/>
      <c r="I44" s="511" t="s">
        <v>653</v>
      </c>
      <c r="J44" s="516">
        <v>2.436E-2</v>
      </c>
    </row>
    <row r="45" spans="2:18" ht="16.5" thickTop="1" thickBot="1" x14ac:dyDescent="0.3">
      <c r="B45" s="688"/>
      <c r="C45" s="688"/>
      <c r="E45" s="511" t="s">
        <v>654</v>
      </c>
      <c r="F45" s="520" t="s">
        <v>670</v>
      </c>
      <c r="H45" s="782"/>
      <c r="I45" s="511" t="s">
        <v>655</v>
      </c>
      <c r="J45" s="516">
        <v>4.3499999999999997E-2</v>
      </c>
    </row>
    <row r="46" spans="2:18" ht="16.5" thickTop="1" thickBot="1" x14ac:dyDescent="0.3">
      <c r="B46" s="688"/>
      <c r="C46" s="688"/>
      <c r="E46" s="511" t="s">
        <v>656</v>
      </c>
      <c r="F46" s="520" t="s">
        <v>657</v>
      </c>
      <c r="H46" s="782"/>
      <c r="I46" s="521" t="s">
        <v>658</v>
      </c>
      <c r="J46" s="522">
        <v>6.9599999999999995E-2</v>
      </c>
    </row>
    <row r="47" spans="2:18" ht="16.5" thickTop="1" thickBot="1" x14ac:dyDescent="0.3">
      <c r="B47" s="688"/>
      <c r="C47" s="688"/>
      <c r="E47" s="521" t="s">
        <v>659</v>
      </c>
      <c r="F47" s="520" t="s">
        <v>662</v>
      </c>
      <c r="H47" s="523"/>
      <c r="I47" s="524"/>
      <c r="J47" s="525"/>
    </row>
    <row r="48" spans="2:18" ht="2.25" customHeight="1" thickTop="1" thickBot="1" x14ac:dyDescent="0.3">
      <c r="E48" s="526"/>
      <c r="F48" s="374"/>
      <c r="G48" s="302"/>
      <c r="H48" s="303"/>
      <c r="I48" s="303"/>
      <c r="J48" s="303"/>
      <c r="K48" s="351"/>
      <c r="L48" s="351"/>
      <c r="M48" s="351"/>
      <c r="N48" s="351"/>
      <c r="O48" s="351"/>
      <c r="P48" s="351"/>
      <c r="Q48" s="351"/>
      <c r="R48" s="351"/>
    </row>
    <row r="49" ht="1.5" customHeight="1" thickTop="1" x14ac:dyDescent="0.25"/>
    <row r="50" ht="2.25" customHeight="1" x14ac:dyDescent="0.25"/>
  </sheetData>
  <sheetProtection algorithmName="SHA-512" hashValue="yxtWNQhowiUiGmNfo6wwfvVNC4yhEdqumpUp+kTK5lFLv0e6Ev1ScphvsUGn45ko9ywAgxNlS/hTSO/qqSFfuA==" saltValue="8wpzN+lDGt1Wsen4VpMDSw==" spinCount="100000" sheet="1" objects="1" scenarios="1"/>
  <protectedRanges>
    <protectedRange algorithmName="SHA-512" hashValue="o9zaiODyG7MjbER2GNoT08Xkpv5YjIEkg/kp9lJ+0D0OxeiO/rIyRO0DkFNEkKnS1JprYWDU0XRg5mCAMNBH/A==" saltValue="epGbX9tP3GIkSEe3n+P1Dg==" spinCount="100000" sqref="E20:J47" name="Otrosdatos"/>
  </protectedRanges>
  <mergeCells count="19">
    <mergeCell ref="H22:I22"/>
    <mergeCell ref="H23:H28"/>
    <mergeCell ref="H29:I29"/>
    <mergeCell ref="H30:H31"/>
    <mergeCell ref="B8:C8"/>
    <mergeCell ref="B10:B21"/>
    <mergeCell ref="B6:C7"/>
    <mergeCell ref="B1:C5"/>
    <mergeCell ref="E5:J6"/>
    <mergeCell ref="B22:C47"/>
    <mergeCell ref="E7:J17"/>
    <mergeCell ref="H33:H36"/>
    <mergeCell ref="H37:H38"/>
    <mergeCell ref="H39:H41"/>
    <mergeCell ref="H42:H46"/>
    <mergeCell ref="E43:F44"/>
    <mergeCell ref="E42:F42"/>
    <mergeCell ref="H20:I20"/>
    <mergeCell ref="H21:I21"/>
  </mergeCells>
  <hyperlinks>
    <hyperlink ref="B10:B21" location="Anual!A1" display="Calendario" xr:uid="{D5D64FA2-CB0F-45CB-A3D0-A15F2BDEF8AB}"/>
    <hyperlink ref="C10" location="Enero!A1" display="Enero" xr:uid="{0675652E-03F4-4F15-A88B-9006058A1665}"/>
    <hyperlink ref="C11" location="Febrero!A1" display="Febrero" xr:uid="{320DA6D5-A001-4173-83D1-2EDA96245A81}"/>
    <hyperlink ref="C12" location="Marzo!A1" display="Marzo" xr:uid="{798757AF-641D-44BF-AA57-D2F7D1F457E0}"/>
    <hyperlink ref="C13" location="Abril!A1" display="Abril" xr:uid="{0C8C1A92-B573-471A-B8CC-61CE1029CD1C}"/>
    <hyperlink ref="C14" location="Mayo!A1" display="Mayo" xr:uid="{7A25B249-1A4C-4C97-B260-34A5FCC799E3}"/>
    <hyperlink ref="C15" location="Junio!A1" display="Junio" xr:uid="{33EFF8BD-A34F-419C-B1E9-693A1D7F1341}"/>
    <hyperlink ref="C16" location="Julio!A1" display="Julio" xr:uid="{8EA0FBAF-57A1-44C8-8C02-1BDF7A6CEFA5}"/>
    <hyperlink ref="C17" location="Agosto!A1" display="Agosto" xr:uid="{644AB026-1368-4A51-901F-3B5248C0F248}"/>
    <hyperlink ref="C18" location="Septiembre!A1" display="Septiembre" xr:uid="{AF4DF7A9-E026-4C74-AB7E-EE824FAB2181}"/>
    <hyperlink ref="C19" location="Octubre!A1" display="Octubre" xr:uid="{5CD5018B-8B0B-4D06-B3A7-4B3E2BF4BFAE}"/>
    <hyperlink ref="C20" location="Noviembre!A1" display="Noviembre" xr:uid="{37E592D0-EC9F-452E-AFF7-B618C9D6EEFD}"/>
    <hyperlink ref="C21" location="Diciembre!A1" display="Diciembre" xr:uid="{64671FD2-B442-4AEE-8C44-365B613ED2D6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9D465-441B-402D-925B-EBDB5205454B}">
  <sheetPr>
    <tabColor rgb="FFFFC000"/>
    <pageSetUpPr autoPageBreaks="0" fitToPage="1"/>
  </sheetPr>
  <dimension ref="A1:AI39"/>
  <sheetViews>
    <sheetView showGridLines="0" showRowColHeaders="0" zoomScale="70" zoomScaleNormal="70" workbookViewId="0">
      <pane ySplit="8" topLeftCell="A9" activePane="bottomLeft" state="frozen"/>
      <selection pane="bottomLeft" activeCell="A39" sqref="A39"/>
    </sheetView>
  </sheetViews>
  <sheetFormatPr baseColWidth="10" defaultColWidth="0" defaultRowHeight="15" zeroHeight="1" x14ac:dyDescent="0.25"/>
  <cols>
    <col min="1" max="1" width="3.7109375" style="15" customWidth="1"/>
    <col min="2" max="8" width="5.140625" style="10" customWidth="1"/>
    <col min="9" max="9" width="7.85546875" style="10" customWidth="1"/>
    <col min="10" max="16" width="5.140625" style="10" customWidth="1"/>
    <col min="17" max="17" width="7.85546875" style="10" customWidth="1"/>
    <col min="18" max="24" width="5.140625" style="10" customWidth="1"/>
    <col min="25" max="25" width="9" style="10" customWidth="1"/>
    <col min="26" max="32" width="5.140625" style="10" customWidth="1"/>
    <col min="33" max="33" width="6.7109375" style="10" customWidth="1"/>
    <col min="34" max="34" width="1.5703125" style="10" customWidth="1"/>
    <col min="35" max="35" width="10.28515625" style="10" hidden="1" customWidth="1"/>
    <col min="36" max="16384" width="9.140625" style="10" hidden="1"/>
  </cols>
  <sheetData>
    <row r="1" spans="1:34" ht="7.5" customHeight="1" x14ac:dyDescent="0.25">
      <c r="A1" s="134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40"/>
    </row>
    <row r="2" spans="1:34" ht="42" customHeight="1" x14ac:dyDescent="0.5">
      <c r="A2" s="135"/>
      <c r="B2" s="800" t="s">
        <v>618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800"/>
      <c r="R2" s="800"/>
      <c r="S2" s="121"/>
      <c r="T2" s="121"/>
      <c r="U2" s="121"/>
      <c r="V2" s="121"/>
      <c r="W2" s="795" t="s">
        <v>0</v>
      </c>
      <c r="X2" s="795"/>
      <c r="Y2" s="795"/>
      <c r="Z2" s="795"/>
      <c r="AA2" s="9"/>
      <c r="AB2" s="9"/>
      <c r="AC2" s="9"/>
      <c r="AD2" s="9"/>
      <c r="AE2" s="9"/>
      <c r="AF2" s="9"/>
      <c r="AG2" s="9"/>
      <c r="AH2" s="141"/>
    </row>
    <row r="3" spans="1:34" ht="21.75" customHeight="1" x14ac:dyDescent="0.5">
      <c r="A3" s="135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121"/>
      <c r="S3" s="121"/>
      <c r="T3" s="121"/>
      <c r="U3" s="121"/>
      <c r="V3" s="121"/>
      <c r="W3" s="795"/>
      <c r="X3" s="795"/>
      <c r="Y3" s="795"/>
      <c r="Z3" s="795"/>
      <c r="AA3" s="9"/>
      <c r="AB3" s="9"/>
      <c r="AC3" s="9"/>
      <c r="AD3" s="9"/>
      <c r="AE3" s="9"/>
      <c r="AF3" s="9"/>
      <c r="AG3" s="9"/>
      <c r="AH3" s="141"/>
    </row>
    <row r="4" spans="1:34" ht="16.5" x14ac:dyDescent="0.25">
      <c r="A4" s="135"/>
      <c r="B4" s="796" t="s">
        <v>1</v>
      </c>
      <c r="C4" s="796"/>
      <c r="D4" s="796"/>
      <c r="E4" s="796"/>
      <c r="F4" s="796"/>
      <c r="G4" s="796"/>
      <c r="H4" s="796"/>
      <c r="I4" s="797" t="s">
        <v>14</v>
      </c>
      <c r="J4" s="797"/>
      <c r="K4" s="797"/>
      <c r="L4" s="9"/>
      <c r="M4" s="9"/>
      <c r="N4" s="9"/>
      <c r="O4" s="9"/>
      <c r="P4" s="9"/>
      <c r="Q4" s="9"/>
      <c r="R4" s="798">
        <v>2023</v>
      </c>
      <c r="S4" s="798"/>
      <c r="T4" s="798"/>
      <c r="U4" s="798"/>
      <c r="V4" s="798"/>
      <c r="W4" s="798"/>
      <c r="X4" s="798"/>
      <c r="Y4" s="798"/>
      <c r="Z4" s="798"/>
      <c r="AA4" s="798"/>
      <c r="AB4" s="798"/>
      <c r="AC4" s="798"/>
      <c r="AD4" s="798"/>
      <c r="AE4" s="798"/>
      <c r="AF4" s="798"/>
      <c r="AG4" s="9"/>
      <c r="AH4" s="141"/>
    </row>
    <row r="5" spans="1:34" ht="23.25" customHeight="1" x14ac:dyDescent="0.25">
      <c r="A5" s="135"/>
      <c r="B5" s="796" t="s">
        <v>2</v>
      </c>
      <c r="C5" s="796"/>
      <c r="D5" s="796"/>
      <c r="E5" s="796"/>
      <c r="F5" s="796"/>
      <c r="G5" s="796"/>
      <c r="H5" s="796"/>
      <c r="I5" s="502" t="b">
        <v>1</v>
      </c>
      <c r="J5" s="502"/>
      <c r="K5" s="502"/>
      <c r="L5" s="9"/>
      <c r="M5" s="122"/>
      <c r="N5" s="9"/>
      <c r="O5" s="9"/>
      <c r="P5" s="9"/>
      <c r="Q5" s="9"/>
      <c r="R5" s="798"/>
      <c r="S5" s="798"/>
      <c r="T5" s="798"/>
      <c r="U5" s="798"/>
      <c r="V5" s="798"/>
      <c r="W5" s="798"/>
      <c r="X5" s="798"/>
      <c r="Y5" s="798"/>
      <c r="Z5" s="798"/>
      <c r="AA5" s="798"/>
      <c r="AB5" s="798"/>
      <c r="AC5" s="798"/>
      <c r="AD5" s="798"/>
      <c r="AE5" s="798"/>
      <c r="AF5" s="798"/>
      <c r="AG5" s="9"/>
      <c r="AH5" s="141"/>
    </row>
    <row r="6" spans="1:34" ht="23.25" customHeight="1" x14ac:dyDescent="0.25">
      <c r="A6" s="135"/>
      <c r="B6" s="799"/>
      <c r="C6" s="799"/>
      <c r="D6" s="799"/>
      <c r="E6" s="799"/>
      <c r="F6" s="799"/>
      <c r="G6" s="799"/>
      <c r="H6" s="799"/>
      <c r="I6" s="502" t="b">
        <v>1</v>
      </c>
      <c r="J6" s="502"/>
      <c r="K6" s="502"/>
      <c r="L6" s="9"/>
      <c r="N6" s="9"/>
      <c r="O6" s="9"/>
      <c r="P6" s="9"/>
      <c r="Q6" s="9"/>
      <c r="R6" s="798"/>
      <c r="S6" s="798"/>
      <c r="T6" s="798"/>
      <c r="U6" s="798"/>
      <c r="V6" s="798"/>
      <c r="W6" s="798"/>
      <c r="X6" s="798"/>
      <c r="Y6" s="798"/>
      <c r="Z6" s="798"/>
      <c r="AA6" s="798"/>
      <c r="AB6" s="798"/>
      <c r="AC6" s="798"/>
      <c r="AD6" s="798"/>
      <c r="AE6" s="798"/>
      <c r="AF6" s="798"/>
      <c r="AG6" s="9"/>
      <c r="AH6" s="141"/>
    </row>
    <row r="7" spans="1:34" ht="21.75" customHeight="1" x14ac:dyDescent="0.25">
      <c r="A7" s="135"/>
      <c r="B7" s="8"/>
      <c r="C7" s="8"/>
      <c r="D7" s="8"/>
      <c r="E7" s="8"/>
      <c r="F7" s="8"/>
      <c r="G7" s="8"/>
      <c r="H7" s="8"/>
      <c r="I7" s="11" t="b">
        <f>IF(MostrarDíasFestivos,Observado,MostrarDíasFestivos)</f>
        <v>1</v>
      </c>
      <c r="J7" s="54"/>
      <c r="K7" s="8"/>
      <c r="L7" s="8"/>
      <c r="M7" s="8"/>
      <c r="N7" s="8"/>
      <c r="O7" s="8"/>
      <c r="P7" s="8"/>
      <c r="Q7" s="9"/>
      <c r="R7" s="798"/>
      <c r="S7" s="798"/>
      <c r="T7" s="798"/>
      <c r="U7" s="798"/>
      <c r="V7" s="798"/>
      <c r="W7" s="798"/>
      <c r="X7" s="798"/>
      <c r="Y7" s="798"/>
      <c r="Z7" s="798"/>
      <c r="AA7" s="798"/>
      <c r="AB7" s="798"/>
      <c r="AC7" s="798"/>
      <c r="AD7" s="798"/>
      <c r="AE7" s="798"/>
      <c r="AF7" s="798"/>
      <c r="AG7" s="9"/>
      <c r="AH7" s="141"/>
    </row>
    <row r="8" spans="1:34" ht="26.25" x14ac:dyDescent="0.25">
      <c r="A8" s="135"/>
      <c r="B8" s="53" t="s">
        <v>3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9"/>
      <c r="R8" s="798"/>
      <c r="S8" s="798"/>
      <c r="T8" s="798"/>
      <c r="U8" s="798"/>
      <c r="V8" s="798"/>
      <c r="W8" s="798"/>
      <c r="X8" s="798"/>
      <c r="Y8" s="798"/>
      <c r="Z8" s="798"/>
      <c r="AA8" s="798"/>
      <c r="AB8" s="798"/>
      <c r="AC8" s="798"/>
      <c r="AD8" s="798"/>
      <c r="AE8" s="798"/>
      <c r="AF8" s="798"/>
      <c r="AG8" s="9"/>
      <c r="AH8" s="141"/>
    </row>
    <row r="9" spans="1:34" ht="4.5" customHeight="1" x14ac:dyDescent="1.85">
      <c r="A9" s="135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9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9"/>
      <c r="AH9" s="141"/>
    </row>
    <row r="10" spans="1:34" s="16" customFormat="1" ht="15.75" x14ac:dyDescent="0.25">
      <c r="A10" s="136"/>
      <c r="B10" s="123" t="s">
        <v>26</v>
      </c>
      <c r="C10" s="123" t="s">
        <v>27</v>
      </c>
      <c r="D10" s="123" t="s">
        <v>27</v>
      </c>
      <c r="E10" s="123" t="s">
        <v>28</v>
      </c>
      <c r="F10" s="123" t="s">
        <v>29</v>
      </c>
      <c r="G10" s="124" t="s">
        <v>30</v>
      </c>
      <c r="H10" s="124" t="s">
        <v>31</v>
      </c>
      <c r="I10" s="17"/>
      <c r="J10" s="123" t="s">
        <v>26</v>
      </c>
      <c r="K10" s="123" t="s">
        <v>27</v>
      </c>
      <c r="L10" s="123" t="s">
        <v>27</v>
      </c>
      <c r="M10" s="123" t="s">
        <v>28</v>
      </c>
      <c r="N10" s="123" t="s">
        <v>29</v>
      </c>
      <c r="O10" s="124" t="s">
        <v>30</v>
      </c>
      <c r="P10" s="124" t="s">
        <v>31</v>
      </c>
      <c r="Q10" s="17"/>
      <c r="R10" s="123" t="s">
        <v>26</v>
      </c>
      <c r="S10" s="123" t="s">
        <v>27</v>
      </c>
      <c r="T10" s="123" t="s">
        <v>27</v>
      </c>
      <c r="U10" s="123" t="s">
        <v>28</v>
      </c>
      <c r="V10" s="123" t="s">
        <v>29</v>
      </c>
      <c r="W10" s="124" t="s">
        <v>30</v>
      </c>
      <c r="X10" s="124" t="s">
        <v>31</v>
      </c>
      <c r="Y10" s="17"/>
      <c r="Z10" s="123" t="s">
        <v>26</v>
      </c>
      <c r="AA10" s="123" t="s">
        <v>27</v>
      </c>
      <c r="AB10" s="123" t="s">
        <v>27</v>
      </c>
      <c r="AC10" s="123" t="s">
        <v>28</v>
      </c>
      <c r="AD10" s="123" t="s">
        <v>29</v>
      </c>
      <c r="AE10" s="124" t="s">
        <v>30</v>
      </c>
      <c r="AF10" s="124" t="s">
        <v>31</v>
      </c>
      <c r="AG10" s="125"/>
      <c r="AH10" s="142"/>
    </row>
    <row r="11" spans="1:34" s="15" customFormat="1" ht="6.75" customHeight="1" x14ac:dyDescent="0.25">
      <c r="A11" s="135"/>
      <c r="B11" s="801">
        <f>DATE(CalYear,1,1)</f>
        <v>44927</v>
      </c>
      <c r="C11" s="801"/>
      <c r="D11" s="801"/>
      <c r="E11" s="801"/>
      <c r="F11" s="801"/>
      <c r="G11" s="801"/>
      <c r="H11" s="801"/>
      <c r="I11" s="120"/>
      <c r="J11" s="801">
        <f>DATE(CalYear,2,1)</f>
        <v>44958</v>
      </c>
      <c r="K11" s="801"/>
      <c r="L11" s="801"/>
      <c r="M11" s="801"/>
      <c r="N11" s="801"/>
      <c r="O11" s="801"/>
      <c r="P11" s="801"/>
      <c r="Q11" s="120"/>
      <c r="R11" s="801">
        <f>DATE(CalYear,3,1)</f>
        <v>44986</v>
      </c>
      <c r="S11" s="801"/>
      <c r="T11" s="801"/>
      <c r="U11" s="801"/>
      <c r="V11" s="801"/>
      <c r="W11" s="801"/>
      <c r="X11" s="801"/>
      <c r="Y11" s="120"/>
      <c r="Z11" s="801">
        <f>DATE(CalYear,4,1)</f>
        <v>45017</v>
      </c>
      <c r="AA11" s="801"/>
      <c r="AB11" s="801"/>
      <c r="AC11" s="801"/>
      <c r="AD11" s="801"/>
      <c r="AE11" s="801"/>
      <c r="AF11" s="801"/>
      <c r="AG11" s="120"/>
      <c r="AH11" s="143"/>
    </row>
    <row r="12" spans="1:34" ht="24" customHeight="1" thickBot="1" x14ac:dyDescent="0.3">
      <c r="A12" s="137"/>
      <c r="B12" s="802" t="str">
        <f>UPPER(TEXT(B11,"MMMM"))</f>
        <v>ENERO</v>
      </c>
      <c r="C12" s="802"/>
      <c r="D12" s="802"/>
      <c r="E12" s="802"/>
      <c r="F12" s="802"/>
      <c r="G12" s="802"/>
      <c r="H12" s="802"/>
      <c r="I12" s="126"/>
      <c r="J12" s="802" t="str">
        <f>UPPER(TEXT(J11,"MMMM"))</f>
        <v>FEBRERO</v>
      </c>
      <c r="K12" s="802"/>
      <c r="L12" s="802"/>
      <c r="M12" s="802"/>
      <c r="N12" s="802"/>
      <c r="O12" s="802"/>
      <c r="P12" s="802"/>
      <c r="Q12" s="126"/>
      <c r="R12" s="802" t="str">
        <f>UPPER(TEXT(R11,"MMMM"))</f>
        <v>MARZO</v>
      </c>
      <c r="S12" s="802"/>
      <c r="T12" s="802"/>
      <c r="U12" s="802"/>
      <c r="V12" s="802"/>
      <c r="W12" s="802"/>
      <c r="X12" s="802"/>
      <c r="Y12" s="126"/>
      <c r="Z12" s="802" t="str">
        <f>UPPER(TEXT(Z11,"MMMM"))</f>
        <v>ABRIL</v>
      </c>
      <c r="AA12" s="802"/>
      <c r="AB12" s="802"/>
      <c r="AC12" s="802"/>
      <c r="AD12" s="802"/>
      <c r="AE12" s="802"/>
      <c r="AF12" s="802"/>
      <c r="AG12" s="126"/>
      <c r="AH12" s="141"/>
    </row>
    <row r="13" spans="1:34" s="16" customFormat="1" ht="21" customHeight="1" thickTop="1" x14ac:dyDescent="0.25">
      <c r="A13" s="138">
        <v>1</v>
      </c>
      <c r="B13" s="127">
        <f t="array" ref="B13:H13">Días+DATE(CalYear,MONTH($B$11),1)-WEEKDAY(DATE(CalYear,MONTH($B$11),1),(InicioDeLaSemana="Lunes")+1)+$A13*7-6</f>
        <v>44921</v>
      </c>
      <c r="C13" s="127">
        <v>44922</v>
      </c>
      <c r="D13" s="127">
        <v>44923</v>
      </c>
      <c r="E13" s="127">
        <v>44924</v>
      </c>
      <c r="F13" s="127">
        <v>44925</v>
      </c>
      <c r="G13" s="127">
        <v>44926</v>
      </c>
      <c r="H13" s="128">
        <v>44927</v>
      </c>
      <c r="I13" s="129"/>
      <c r="J13" s="127">
        <f t="array" ref="J13:P13">Días+DATE(CalYear,MONTH($J$11),1)-WEEKDAY(DATE(CalYear,MONTH($J$11),1),(InicioDeLaSemana="Lunes")+1)+$A13*7-6</f>
        <v>44956</v>
      </c>
      <c r="K13" s="127">
        <v>44957</v>
      </c>
      <c r="L13" s="127">
        <v>44958</v>
      </c>
      <c r="M13" s="127">
        <v>44959</v>
      </c>
      <c r="N13" s="127">
        <v>44960</v>
      </c>
      <c r="O13" s="127">
        <v>44961</v>
      </c>
      <c r="P13" s="128">
        <v>44962</v>
      </c>
      <c r="Q13" s="129"/>
      <c r="R13" s="127">
        <f t="array" ref="R13:X13">Días+DATE(CalYear,MONTH($R$11),1)-WEEKDAY(DATE(CalYear,MONTH($R$11),1),(InicioDeLaSemana="Lunes")+1)+$A13*7-6</f>
        <v>44984</v>
      </c>
      <c r="S13" s="127">
        <v>44985</v>
      </c>
      <c r="T13" s="127">
        <v>44986</v>
      </c>
      <c r="U13" s="127">
        <v>44987</v>
      </c>
      <c r="V13" s="127">
        <v>44988</v>
      </c>
      <c r="W13" s="127">
        <v>44989</v>
      </c>
      <c r="X13" s="128">
        <v>44990</v>
      </c>
      <c r="Y13" s="129"/>
      <c r="Z13" s="127">
        <f t="array" ref="Z13:AF13">Días+DATE(CalYear,MONTH($Z$11),1)-WEEKDAY(DATE(CalYear,MONTH($Z$11),1),(InicioDeLaSemana="Lunes")+1)+$A13*7-6</f>
        <v>45012</v>
      </c>
      <c r="AA13" s="127">
        <v>45013</v>
      </c>
      <c r="AB13" s="127">
        <v>45014</v>
      </c>
      <c r="AC13" s="127">
        <v>45015</v>
      </c>
      <c r="AD13" s="127">
        <v>45016</v>
      </c>
      <c r="AE13" s="127">
        <v>45017</v>
      </c>
      <c r="AF13" s="128">
        <v>45018</v>
      </c>
      <c r="AG13" s="130"/>
      <c r="AH13" s="142"/>
    </row>
    <row r="14" spans="1:34" s="16" customFormat="1" ht="15.75" x14ac:dyDescent="0.25">
      <c r="A14" s="136">
        <v>2</v>
      </c>
      <c r="B14" s="131">
        <f t="array" ref="B14:H14">Días+DATE(CalYear,MONTH($B$11),1)-WEEKDAY(DATE(CalYear,MONTH($B$11),1),(InicioDeLaSemana="Lunes")+1)+$A14*7-6</f>
        <v>44928</v>
      </c>
      <c r="C14" s="131">
        <v>44929</v>
      </c>
      <c r="D14" s="131">
        <v>44930</v>
      </c>
      <c r="E14" s="131">
        <v>44931</v>
      </c>
      <c r="F14" s="131">
        <v>44932</v>
      </c>
      <c r="G14" s="131">
        <v>44933</v>
      </c>
      <c r="H14" s="132">
        <v>44934</v>
      </c>
      <c r="I14" s="17"/>
      <c r="J14" s="131">
        <f t="array" ref="J14:P14">Días+DATE(CalYear,MONTH($J$11),1)-WEEKDAY(DATE(CalYear,MONTH($J$11),1),(InicioDeLaSemana="Lunes")+1)+$A14*7-6</f>
        <v>44963</v>
      </c>
      <c r="K14" s="131">
        <v>44964</v>
      </c>
      <c r="L14" s="131">
        <v>44965</v>
      </c>
      <c r="M14" s="131">
        <v>44966</v>
      </c>
      <c r="N14" s="131">
        <v>44967</v>
      </c>
      <c r="O14" s="131">
        <v>44968</v>
      </c>
      <c r="P14" s="132">
        <v>44969</v>
      </c>
      <c r="Q14" s="17"/>
      <c r="R14" s="131">
        <f t="array" ref="R14:X14">Días+DATE(CalYear,MONTH($R$11),1)-WEEKDAY(DATE(CalYear,MONTH($R$11),1),(InicioDeLaSemana="Lunes")+1)+$A14*7-6</f>
        <v>44991</v>
      </c>
      <c r="S14" s="131">
        <v>44992</v>
      </c>
      <c r="T14" s="131">
        <v>44993</v>
      </c>
      <c r="U14" s="131">
        <v>44994</v>
      </c>
      <c r="V14" s="131">
        <v>44995</v>
      </c>
      <c r="W14" s="131">
        <v>44996</v>
      </c>
      <c r="X14" s="132">
        <v>44997</v>
      </c>
      <c r="Y14" s="17"/>
      <c r="Z14" s="131">
        <f t="array" ref="Z14:AF14">Días+DATE(CalYear,MONTH($Z$11),1)-WEEKDAY(DATE(CalYear,MONTH($Z$11),1),(InicioDeLaSemana="Lunes")+1)+$A14*7-6</f>
        <v>45019</v>
      </c>
      <c r="AA14" s="131">
        <v>45020</v>
      </c>
      <c r="AB14" s="131">
        <v>45021</v>
      </c>
      <c r="AC14" s="132">
        <v>45022</v>
      </c>
      <c r="AD14" s="132">
        <v>45023</v>
      </c>
      <c r="AE14" s="131">
        <v>45024</v>
      </c>
      <c r="AF14" s="132">
        <v>45025</v>
      </c>
      <c r="AG14" s="125"/>
      <c r="AH14" s="142"/>
    </row>
    <row r="15" spans="1:34" s="16" customFormat="1" ht="15.75" x14ac:dyDescent="0.25">
      <c r="A15" s="136">
        <v>3</v>
      </c>
      <c r="B15" s="132">
        <f t="array" ref="B15:H15">Días+DATE(CalYear,MONTH($B$11),1)-WEEKDAY(DATE(CalYear,MONTH($B$11),1),(InicioDeLaSemana="Lunes")+1)+$A15*7-6</f>
        <v>44935</v>
      </c>
      <c r="C15" s="131">
        <v>44936</v>
      </c>
      <c r="D15" s="131">
        <v>44937</v>
      </c>
      <c r="E15" s="131">
        <v>44938</v>
      </c>
      <c r="F15" s="131">
        <v>44939</v>
      </c>
      <c r="G15" s="131">
        <v>44940</v>
      </c>
      <c r="H15" s="132">
        <v>44941</v>
      </c>
      <c r="I15" s="17"/>
      <c r="J15" s="131">
        <f t="array" ref="J15:P15">Días+DATE(CalYear,MONTH($J$11),1)-WEEKDAY(DATE(CalYear,MONTH($J$11),1),(InicioDeLaSemana="Lunes")+1)+$A15*7-6</f>
        <v>44970</v>
      </c>
      <c r="K15" s="131">
        <v>44971</v>
      </c>
      <c r="L15" s="131">
        <v>44972</v>
      </c>
      <c r="M15" s="131">
        <v>44973</v>
      </c>
      <c r="N15" s="131">
        <v>44974</v>
      </c>
      <c r="O15" s="131">
        <v>44975</v>
      </c>
      <c r="P15" s="132">
        <v>44976</v>
      </c>
      <c r="Q15" s="17"/>
      <c r="R15" s="131">
        <f t="array" ref="R15:X15">Días+DATE(CalYear,MONTH($R$11),1)-WEEKDAY(DATE(CalYear,MONTH($R$11),1),(InicioDeLaSemana="Lunes")+1)+$A15*7-6</f>
        <v>44998</v>
      </c>
      <c r="S15" s="131">
        <v>44999</v>
      </c>
      <c r="T15" s="131">
        <v>45000</v>
      </c>
      <c r="U15" s="131">
        <v>45001</v>
      </c>
      <c r="V15" s="131">
        <v>45002</v>
      </c>
      <c r="W15" s="131">
        <v>45003</v>
      </c>
      <c r="X15" s="132">
        <v>45004</v>
      </c>
      <c r="Y15" s="17"/>
      <c r="Z15" s="131">
        <f t="array" ref="Z15:AF15">Días+DATE(CalYear,MONTH($Z$11),1)-WEEKDAY(DATE(CalYear,MONTH($Z$11),1),(InicioDeLaSemana="Lunes")+1)+$A15*7-6</f>
        <v>45026</v>
      </c>
      <c r="AA15" s="131">
        <v>45027</v>
      </c>
      <c r="AB15" s="131">
        <v>45028</v>
      </c>
      <c r="AC15" s="131">
        <v>45029</v>
      </c>
      <c r="AD15" s="131">
        <v>45030</v>
      </c>
      <c r="AE15" s="131">
        <v>45031</v>
      </c>
      <c r="AF15" s="132">
        <v>45032</v>
      </c>
      <c r="AG15" s="125"/>
      <c r="AH15" s="142"/>
    </row>
    <row r="16" spans="1:34" s="16" customFormat="1" ht="15.75" x14ac:dyDescent="0.25">
      <c r="A16" s="136">
        <v>4</v>
      </c>
      <c r="B16" s="131">
        <f t="array" ref="B16:H16">Días+DATE(CalYear,MONTH($B$11),1)-WEEKDAY(DATE(CalYear,MONTH($B$11),1),(InicioDeLaSemana="Lunes")+1)+$A16*7-6</f>
        <v>44942</v>
      </c>
      <c r="C16" s="131">
        <v>44943</v>
      </c>
      <c r="D16" s="131">
        <v>44944</v>
      </c>
      <c r="E16" s="131">
        <v>44945</v>
      </c>
      <c r="F16" s="131">
        <v>44946</v>
      </c>
      <c r="G16" s="131">
        <v>44947</v>
      </c>
      <c r="H16" s="132">
        <v>44948</v>
      </c>
      <c r="I16" s="17"/>
      <c r="J16" s="131">
        <f t="array" ref="J16:P16">Días+DATE(CalYear,MONTH($J$11),1)-WEEKDAY(DATE(CalYear,MONTH($J$11),1),(InicioDeLaSemana="Lunes")+1)+$A16*7-6</f>
        <v>44977</v>
      </c>
      <c r="K16" s="131">
        <v>44978</v>
      </c>
      <c r="L16" s="131">
        <v>44979</v>
      </c>
      <c r="M16" s="131">
        <v>44980</v>
      </c>
      <c r="N16" s="131">
        <v>44981</v>
      </c>
      <c r="O16" s="131">
        <v>44982</v>
      </c>
      <c r="P16" s="132">
        <v>44983</v>
      </c>
      <c r="Q16" s="17"/>
      <c r="R16" s="132">
        <f t="array" ref="R16:X16">Días+DATE(CalYear,MONTH($R$11),1)-WEEKDAY(DATE(CalYear,MONTH($R$11),1),(InicioDeLaSemana="Lunes")+1)+$A16*7-6</f>
        <v>45005</v>
      </c>
      <c r="S16" s="131">
        <v>45006</v>
      </c>
      <c r="T16" s="131">
        <v>45007</v>
      </c>
      <c r="U16" s="131">
        <v>45008</v>
      </c>
      <c r="V16" s="131">
        <v>45009</v>
      </c>
      <c r="W16" s="131">
        <v>45010</v>
      </c>
      <c r="X16" s="132">
        <v>45011</v>
      </c>
      <c r="Y16" s="17"/>
      <c r="Z16" s="131">
        <f t="array" ref="Z16:AF16">Días+DATE(CalYear,MONTH($Z$11),1)-WEEKDAY(DATE(CalYear,MONTH($Z$11),1),(InicioDeLaSemana="Lunes")+1)+$A16*7-6</f>
        <v>45033</v>
      </c>
      <c r="AA16" s="131">
        <v>45034</v>
      </c>
      <c r="AB16" s="131">
        <v>45035</v>
      </c>
      <c r="AC16" s="131">
        <v>45036</v>
      </c>
      <c r="AD16" s="131">
        <v>45037</v>
      </c>
      <c r="AE16" s="131">
        <v>45038</v>
      </c>
      <c r="AF16" s="132">
        <v>45039</v>
      </c>
      <c r="AG16" s="125"/>
      <c r="AH16" s="142"/>
    </row>
    <row r="17" spans="1:34" s="16" customFormat="1" ht="15.75" x14ac:dyDescent="0.25">
      <c r="A17" s="136">
        <v>5</v>
      </c>
      <c r="B17" s="131">
        <f t="array" ref="B17:H17">Días+DATE(CalYear,MONTH($B$11),1)-WEEKDAY(DATE(CalYear,MONTH($B$11),1),(InicioDeLaSemana="Lunes")+1)+$A17*7-6</f>
        <v>44949</v>
      </c>
      <c r="C17" s="131">
        <v>44950</v>
      </c>
      <c r="D17" s="131">
        <v>44951</v>
      </c>
      <c r="E17" s="131">
        <v>44952</v>
      </c>
      <c r="F17" s="131">
        <v>44953</v>
      </c>
      <c r="G17" s="131">
        <v>44954</v>
      </c>
      <c r="H17" s="132">
        <v>44955</v>
      </c>
      <c r="I17" s="17"/>
      <c r="J17" s="131">
        <f t="array" ref="J17:P17">Días+DATE(CalYear,MONTH($J$11),1)-WEEKDAY(DATE(CalYear,MONTH($J$11),1),(InicioDeLaSemana="Lunes")+1)+$A17*7-6</f>
        <v>44984</v>
      </c>
      <c r="K17" s="131">
        <v>44985</v>
      </c>
      <c r="L17" s="131">
        <v>44986</v>
      </c>
      <c r="M17" s="131">
        <v>44987</v>
      </c>
      <c r="N17" s="131">
        <v>44988</v>
      </c>
      <c r="O17" s="131">
        <v>44989</v>
      </c>
      <c r="P17" s="131">
        <v>44990</v>
      </c>
      <c r="Q17" s="17"/>
      <c r="R17" s="131">
        <f t="array" ref="R17:X17">Días+DATE(CalYear,MONTH($R$11),1)-WEEKDAY(DATE(CalYear,MONTH($R$11),1),(InicioDeLaSemana="Lunes")+1)+$A17*7-6</f>
        <v>45012</v>
      </c>
      <c r="S17" s="131">
        <v>45013</v>
      </c>
      <c r="T17" s="131">
        <v>45014</v>
      </c>
      <c r="U17" s="131">
        <v>45015</v>
      </c>
      <c r="V17" s="131">
        <v>45016</v>
      </c>
      <c r="W17" s="131">
        <v>45017</v>
      </c>
      <c r="X17" s="131">
        <v>45018</v>
      </c>
      <c r="Y17" s="17"/>
      <c r="Z17" s="131">
        <f t="array" ref="Z17:AF17">Días+DATE(CalYear,MONTH($Z$11),1)-WEEKDAY(DATE(CalYear,MONTH($Z$11),1),(InicioDeLaSemana="Lunes")+1)+$A17*7-6</f>
        <v>45040</v>
      </c>
      <c r="AA17" s="131">
        <v>45041</v>
      </c>
      <c r="AB17" s="131">
        <v>45042</v>
      </c>
      <c r="AC17" s="131">
        <v>45043</v>
      </c>
      <c r="AD17" s="131">
        <v>45044</v>
      </c>
      <c r="AE17" s="131">
        <v>45045</v>
      </c>
      <c r="AF17" s="131">
        <v>45046</v>
      </c>
      <c r="AG17" s="125"/>
      <c r="AH17" s="142"/>
    </row>
    <row r="18" spans="1:34" s="16" customFormat="1" ht="15.75" x14ac:dyDescent="0.25">
      <c r="A18" s="136">
        <v>6</v>
      </c>
      <c r="B18" s="131">
        <f t="array" ref="B18:H18">Días+DATE(CalYear,MONTH($B$11),1)-WEEKDAY(DATE(CalYear,MONTH($B$11),1),(InicioDeLaSemana="Lunes")+1)+$A18*7-6</f>
        <v>44956</v>
      </c>
      <c r="C18" s="131">
        <v>44957</v>
      </c>
      <c r="D18" s="131">
        <v>44958</v>
      </c>
      <c r="E18" s="131">
        <v>44959</v>
      </c>
      <c r="F18" s="131">
        <v>44960</v>
      </c>
      <c r="G18" s="131">
        <v>44961</v>
      </c>
      <c r="H18" s="131">
        <v>44962</v>
      </c>
      <c r="I18" s="17"/>
      <c r="J18" s="131">
        <f t="array" ref="J18:P18">Días+DATE(CalYear,MONTH($J$11),1)-WEEKDAY(DATE(CalYear,MONTH($J$11),1),(InicioDeLaSemana="Lunes")+1)+$A18*7-6</f>
        <v>44991</v>
      </c>
      <c r="K18" s="131">
        <v>44992</v>
      </c>
      <c r="L18" s="131">
        <v>44993</v>
      </c>
      <c r="M18" s="131">
        <v>44994</v>
      </c>
      <c r="N18" s="131">
        <v>44995</v>
      </c>
      <c r="O18" s="131">
        <v>44996</v>
      </c>
      <c r="P18" s="131">
        <v>44997</v>
      </c>
      <c r="Q18" s="17"/>
      <c r="R18" s="131">
        <f t="array" ref="R18:X18">Días+DATE(CalYear,MONTH($R$11),1)-WEEKDAY(DATE(CalYear,MONTH($R$11),1),(InicioDeLaSemana="Lunes")+1)+$A18*7-6</f>
        <v>45019</v>
      </c>
      <c r="S18" s="131">
        <v>45020</v>
      </c>
      <c r="T18" s="131">
        <v>45021</v>
      </c>
      <c r="U18" s="131">
        <v>45022</v>
      </c>
      <c r="V18" s="131">
        <v>45023</v>
      </c>
      <c r="W18" s="131">
        <v>45024</v>
      </c>
      <c r="X18" s="131">
        <v>45025</v>
      </c>
      <c r="Y18" s="17"/>
      <c r="Z18" s="131">
        <f t="array" ref="Z18:AF18">Días+DATE(CalYear,MONTH($Z$11),1)-WEEKDAY(DATE(CalYear,MONTH($Z$11),1),(InicioDeLaSemana="Lunes")+1)+$A18*7-6</f>
        <v>45047</v>
      </c>
      <c r="AA18" s="131">
        <v>45048</v>
      </c>
      <c r="AB18" s="131">
        <v>45049</v>
      </c>
      <c r="AC18" s="131">
        <v>45050</v>
      </c>
      <c r="AD18" s="131">
        <v>45051</v>
      </c>
      <c r="AE18" s="131">
        <v>45052</v>
      </c>
      <c r="AF18" s="131">
        <v>45053</v>
      </c>
      <c r="AG18" s="125"/>
      <c r="AH18" s="142"/>
    </row>
    <row r="19" spans="1:34" x14ac:dyDescent="0.25">
      <c r="A19" s="135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41"/>
    </row>
    <row r="20" spans="1:34" s="15" customFormat="1" x14ac:dyDescent="0.25">
      <c r="A20" s="135"/>
      <c r="B20" s="801">
        <f>DATE(CalYear,5,1)</f>
        <v>45047</v>
      </c>
      <c r="C20" s="801"/>
      <c r="D20" s="801"/>
      <c r="E20" s="801"/>
      <c r="F20" s="801"/>
      <c r="G20" s="801"/>
      <c r="H20" s="801"/>
      <c r="I20" s="120"/>
      <c r="J20" s="801">
        <f>DATE(CalYear,6,1)</f>
        <v>45078</v>
      </c>
      <c r="K20" s="801"/>
      <c r="L20" s="801"/>
      <c r="M20" s="801"/>
      <c r="N20" s="801"/>
      <c r="O20" s="801"/>
      <c r="P20" s="801"/>
      <c r="Q20" s="120"/>
      <c r="R20" s="801">
        <f>DATE(CalYear,7,1)</f>
        <v>45108</v>
      </c>
      <c r="S20" s="801"/>
      <c r="T20" s="801"/>
      <c r="U20" s="801"/>
      <c r="V20" s="801"/>
      <c r="W20" s="801"/>
      <c r="X20" s="801"/>
      <c r="Y20" s="120"/>
      <c r="Z20" s="801">
        <f>DATE(CalYear,8,1)</f>
        <v>45139</v>
      </c>
      <c r="AA20" s="801"/>
      <c r="AB20" s="801"/>
      <c r="AC20" s="801"/>
      <c r="AD20" s="801"/>
      <c r="AE20" s="801"/>
      <c r="AF20" s="801"/>
      <c r="AG20" s="120"/>
      <c r="AH20" s="143"/>
    </row>
    <row r="21" spans="1:34" ht="24" customHeight="1" thickBot="1" x14ac:dyDescent="0.3">
      <c r="A21" s="137"/>
      <c r="B21" s="802" t="str">
        <f>UPPER(TEXT(B20,"MMMM"))</f>
        <v>MAYO</v>
      </c>
      <c r="C21" s="802"/>
      <c r="D21" s="802"/>
      <c r="E21" s="802"/>
      <c r="F21" s="802"/>
      <c r="G21" s="802"/>
      <c r="H21" s="802"/>
      <c r="I21" s="126"/>
      <c r="J21" s="802" t="str">
        <f>UPPER(TEXT(J20,"MMMM"))</f>
        <v>JUNIO</v>
      </c>
      <c r="K21" s="802"/>
      <c r="L21" s="802"/>
      <c r="M21" s="802"/>
      <c r="N21" s="802"/>
      <c r="O21" s="802"/>
      <c r="P21" s="802"/>
      <c r="Q21" s="126"/>
      <c r="R21" s="802" t="str">
        <f>UPPER(TEXT(R20,"MMMM"))</f>
        <v>JULIO</v>
      </c>
      <c r="S21" s="802"/>
      <c r="T21" s="802"/>
      <c r="U21" s="802"/>
      <c r="V21" s="802"/>
      <c r="W21" s="802"/>
      <c r="X21" s="802"/>
      <c r="Y21" s="126"/>
      <c r="Z21" s="802" t="str">
        <f>UPPER(TEXT(Z20,"MMMM"))</f>
        <v>AGOSTO</v>
      </c>
      <c r="AA21" s="802"/>
      <c r="AB21" s="802"/>
      <c r="AC21" s="802"/>
      <c r="AD21" s="802"/>
      <c r="AE21" s="802"/>
      <c r="AF21" s="802"/>
      <c r="AG21" s="126"/>
      <c r="AH21" s="141"/>
    </row>
    <row r="22" spans="1:34" s="16" customFormat="1" ht="21" customHeight="1" thickTop="1" x14ac:dyDescent="0.25">
      <c r="A22" s="138">
        <v>1</v>
      </c>
      <c r="B22" s="128">
        <f t="array" ref="B22:H22">Días+DATE(CalYear,MONTH($B$20),1)-WEEKDAY(DATE(CalYear,MONTH($B$20),1),(InicioDeLaSemana="Lunes")+1)+$A22*7-6</f>
        <v>45047</v>
      </c>
      <c r="C22" s="127">
        <v>45048</v>
      </c>
      <c r="D22" s="127">
        <v>45049</v>
      </c>
      <c r="E22" s="127">
        <v>45050</v>
      </c>
      <c r="F22" s="127">
        <v>45051</v>
      </c>
      <c r="G22" s="127">
        <v>45052</v>
      </c>
      <c r="H22" s="128">
        <v>45053</v>
      </c>
      <c r="I22" s="129"/>
      <c r="J22" s="127">
        <f t="array" ref="J22:P22">Días+DATE(CalYear,MONTH($J$20),1)-WEEKDAY(DATE(CalYear,MONTH($J$20),1),(InicioDeLaSemana="Lunes")+1)+$A22*7-6</f>
        <v>45075</v>
      </c>
      <c r="K22" s="127">
        <v>45076</v>
      </c>
      <c r="L22" s="127">
        <v>45077</v>
      </c>
      <c r="M22" s="127">
        <v>45078</v>
      </c>
      <c r="N22" s="127">
        <v>45079</v>
      </c>
      <c r="O22" s="127">
        <v>45080</v>
      </c>
      <c r="P22" s="128">
        <v>45081</v>
      </c>
      <c r="Q22" s="129"/>
      <c r="R22" s="127">
        <f t="array" ref="R22:X22">Días+DATE(CalYear,MONTH($R$20),1)-WEEKDAY(DATE(CalYear,MONTH($R$20),1),(InicioDeLaSemana="Lunes")+1)+$A22*7-6</f>
        <v>45103</v>
      </c>
      <c r="S22" s="127">
        <v>45104</v>
      </c>
      <c r="T22" s="127">
        <v>45105</v>
      </c>
      <c r="U22" s="127">
        <v>45106</v>
      </c>
      <c r="V22" s="127">
        <v>45107</v>
      </c>
      <c r="W22" s="127">
        <v>45108</v>
      </c>
      <c r="X22" s="128">
        <v>45109</v>
      </c>
      <c r="Y22" s="129"/>
      <c r="Z22" s="127">
        <f t="array" ref="Z22:AF22">Días+DATE(CalYear,MONTH($Z$20),1)-WEEKDAY(DATE(CalYear,MONTH($Z$20),1),(InicioDeLaSemana="Lunes")+1)+$A22*7-6</f>
        <v>45138</v>
      </c>
      <c r="AA22" s="127">
        <v>45139</v>
      </c>
      <c r="AB22" s="127">
        <v>45140</v>
      </c>
      <c r="AC22" s="127">
        <v>45141</v>
      </c>
      <c r="AD22" s="127">
        <v>45142</v>
      </c>
      <c r="AE22" s="127">
        <v>45143</v>
      </c>
      <c r="AF22" s="128">
        <v>45144</v>
      </c>
      <c r="AG22" s="130"/>
      <c r="AH22" s="142"/>
    </row>
    <row r="23" spans="1:34" s="16" customFormat="1" ht="15.75" x14ac:dyDescent="0.25">
      <c r="A23" s="136">
        <v>2</v>
      </c>
      <c r="B23" s="131">
        <f t="array" ref="B23:H23">Días+DATE(CalYear,MONTH($B$20),1)-WEEKDAY(DATE(CalYear,MONTH($B$20),1),(InicioDeLaSemana="Lunes")+1)+$A23*7-6</f>
        <v>45054</v>
      </c>
      <c r="C23" s="131">
        <v>45055</v>
      </c>
      <c r="D23" s="131">
        <v>45056</v>
      </c>
      <c r="E23" s="131">
        <v>45057</v>
      </c>
      <c r="F23" s="131">
        <v>45058</v>
      </c>
      <c r="G23" s="131">
        <v>45059</v>
      </c>
      <c r="H23" s="132">
        <v>45060</v>
      </c>
      <c r="I23" s="17"/>
      <c r="J23" s="131">
        <f t="array" ref="J23:P23">Días+DATE(CalYear,MONTH($J$20),1)-WEEKDAY(DATE(CalYear,MONTH($J$20),1),(InicioDeLaSemana="Lunes")+1)+$A23*7-6</f>
        <v>45082</v>
      </c>
      <c r="K23" s="131">
        <v>45083</v>
      </c>
      <c r="L23" s="131">
        <v>45084</v>
      </c>
      <c r="M23" s="131">
        <v>45085</v>
      </c>
      <c r="N23" s="131">
        <v>45086</v>
      </c>
      <c r="O23" s="131">
        <v>45087</v>
      </c>
      <c r="P23" s="132">
        <v>45088</v>
      </c>
      <c r="Q23" s="17"/>
      <c r="R23" s="132">
        <f t="array" ref="R23:X23">Días+DATE(CalYear,MONTH($R$20),1)-WEEKDAY(DATE(CalYear,MONTH($R$20),1),(InicioDeLaSemana="Lunes")+1)+$A23*7-6</f>
        <v>45110</v>
      </c>
      <c r="S23" s="131">
        <v>45111</v>
      </c>
      <c r="T23" s="131">
        <v>45112</v>
      </c>
      <c r="U23" s="131">
        <v>45113</v>
      </c>
      <c r="V23" s="131">
        <v>45114</v>
      </c>
      <c r="W23" s="131">
        <v>45115</v>
      </c>
      <c r="X23" s="132">
        <v>45116</v>
      </c>
      <c r="Y23" s="17"/>
      <c r="Z23" s="132">
        <f t="array" ref="Z23:AF23">Días+DATE(CalYear,MONTH($Z$20),1)-WEEKDAY(DATE(CalYear,MONTH($Z$20),1),(InicioDeLaSemana="Lunes")+1)+$A23*7-6</f>
        <v>45145</v>
      </c>
      <c r="AA23" s="131">
        <v>45146</v>
      </c>
      <c r="AB23" s="131">
        <v>45147</v>
      </c>
      <c r="AC23" s="131">
        <v>45148</v>
      </c>
      <c r="AD23" s="131">
        <v>45149</v>
      </c>
      <c r="AE23" s="131">
        <v>45150</v>
      </c>
      <c r="AF23" s="132">
        <v>45151</v>
      </c>
      <c r="AG23" s="125"/>
      <c r="AH23" s="142"/>
    </row>
    <row r="24" spans="1:34" s="16" customFormat="1" ht="15.75" x14ac:dyDescent="0.25">
      <c r="A24" s="136">
        <v>3</v>
      </c>
      <c r="B24" s="131">
        <f t="array" ref="B24:H24">Días+DATE(CalYear,MONTH($B$20),1)-WEEKDAY(DATE(CalYear,MONTH($B$20),1),(InicioDeLaSemana="Lunes")+1)+$A24*7-6</f>
        <v>45061</v>
      </c>
      <c r="C24" s="131">
        <v>45062</v>
      </c>
      <c r="D24" s="131">
        <v>45063</v>
      </c>
      <c r="E24" s="131">
        <v>45064</v>
      </c>
      <c r="F24" s="131">
        <v>45065</v>
      </c>
      <c r="G24" s="131">
        <v>45066</v>
      </c>
      <c r="H24" s="132">
        <v>45067</v>
      </c>
      <c r="I24" s="17"/>
      <c r="J24" s="132">
        <f t="array" ref="J24:P24">Días+DATE(CalYear,MONTH($J$20),1)-WEEKDAY(DATE(CalYear,MONTH($J$20),1),(InicioDeLaSemana="Lunes")+1)+$A24*7-6</f>
        <v>45089</v>
      </c>
      <c r="K24" s="131">
        <v>45090</v>
      </c>
      <c r="L24" s="131">
        <v>45091</v>
      </c>
      <c r="M24" s="131">
        <v>45092</v>
      </c>
      <c r="N24" s="131">
        <v>45093</v>
      </c>
      <c r="O24" s="131">
        <v>45094</v>
      </c>
      <c r="P24" s="132">
        <v>45095</v>
      </c>
      <c r="Q24" s="17"/>
      <c r="R24" s="131">
        <f t="array" ref="R24:X24">Días+DATE(CalYear,MONTH($R$20),1)-WEEKDAY(DATE(CalYear,MONTH($R$20),1),(InicioDeLaSemana="Lunes")+1)+$A24*7-6</f>
        <v>45117</v>
      </c>
      <c r="S24" s="131">
        <v>45118</v>
      </c>
      <c r="T24" s="131">
        <v>45119</v>
      </c>
      <c r="U24" s="131">
        <v>45120</v>
      </c>
      <c r="V24" s="131">
        <v>45121</v>
      </c>
      <c r="W24" s="131">
        <v>45122</v>
      </c>
      <c r="X24" s="132">
        <v>45123</v>
      </c>
      <c r="Y24" s="17"/>
      <c r="Z24" s="132">
        <f t="array" ref="Z24:AF24">Días+DATE(CalYear,MONTH($Z$20),1)-WEEKDAY(DATE(CalYear,MONTH($Z$20),1),(InicioDeLaSemana="Lunes")+1)+$A24*7-6</f>
        <v>45152</v>
      </c>
      <c r="AA24" s="131">
        <v>45153</v>
      </c>
      <c r="AB24" s="131">
        <v>45154</v>
      </c>
      <c r="AC24" s="131">
        <v>45155</v>
      </c>
      <c r="AD24" s="131">
        <v>45156</v>
      </c>
      <c r="AE24" s="131">
        <v>45157</v>
      </c>
      <c r="AF24" s="132">
        <v>45158</v>
      </c>
      <c r="AG24" s="125"/>
      <c r="AH24" s="142"/>
    </row>
    <row r="25" spans="1:34" s="16" customFormat="1" ht="15.75" x14ac:dyDescent="0.25">
      <c r="A25" s="136">
        <v>4</v>
      </c>
      <c r="B25" s="132">
        <f t="array" ref="B25:H25">Días+DATE(CalYear,MONTH($B$20),1)-WEEKDAY(DATE(CalYear,MONTH($B$20),1),(InicioDeLaSemana="Lunes")+1)+$A25*7-6</f>
        <v>45068</v>
      </c>
      <c r="C25" s="131">
        <v>45069</v>
      </c>
      <c r="D25" s="131">
        <v>45070</v>
      </c>
      <c r="E25" s="131">
        <v>45071</v>
      </c>
      <c r="F25" s="131">
        <v>45072</v>
      </c>
      <c r="G25" s="131">
        <v>45073</v>
      </c>
      <c r="H25" s="132">
        <v>45074</v>
      </c>
      <c r="I25" s="17"/>
      <c r="J25" s="132">
        <f t="array" ref="J25:P25">Días+DATE(CalYear,MONTH($J$20),1)-WEEKDAY(DATE(CalYear,MONTH($J$20),1),(InicioDeLaSemana="Lunes")+1)+$A25*7-6</f>
        <v>45096</v>
      </c>
      <c r="K25" s="131">
        <v>45097</v>
      </c>
      <c r="L25" s="131">
        <v>45098</v>
      </c>
      <c r="M25" s="131">
        <v>45099</v>
      </c>
      <c r="N25" s="131">
        <v>45100</v>
      </c>
      <c r="O25" s="131">
        <v>45101</v>
      </c>
      <c r="P25" s="132">
        <v>45102</v>
      </c>
      <c r="Q25" s="17"/>
      <c r="R25" s="131">
        <f t="array" ref="R25:X25">Días+DATE(CalYear,MONTH($R$20),1)-WEEKDAY(DATE(CalYear,MONTH($R$20),1),(InicioDeLaSemana="Lunes")+1)+$A25*7-6</f>
        <v>45124</v>
      </c>
      <c r="S25" s="131">
        <v>45125</v>
      </c>
      <c r="T25" s="131">
        <v>45126</v>
      </c>
      <c r="U25" s="132">
        <v>45127</v>
      </c>
      <c r="V25" s="131">
        <v>45128</v>
      </c>
      <c r="W25" s="131">
        <v>45129</v>
      </c>
      <c r="X25" s="132">
        <v>45130</v>
      </c>
      <c r="Y25" s="17"/>
      <c r="Z25" s="131">
        <f t="array" ref="Z25:AF25">Días+DATE(CalYear,MONTH($Z$20),1)-WEEKDAY(DATE(CalYear,MONTH($Z$20),1),(InicioDeLaSemana="Lunes")+1)+$A25*7-6</f>
        <v>45159</v>
      </c>
      <c r="AA25" s="131">
        <v>45160</v>
      </c>
      <c r="AB25" s="131">
        <v>45161</v>
      </c>
      <c r="AC25" s="131">
        <v>45162</v>
      </c>
      <c r="AD25" s="131">
        <v>45163</v>
      </c>
      <c r="AE25" s="131">
        <v>45164</v>
      </c>
      <c r="AF25" s="132">
        <v>45165</v>
      </c>
      <c r="AG25" s="125"/>
      <c r="AH25" s="142"/>
    </row>
    <row r="26" spans="1:34" s="16" customFormat="1" ht="15.75" x14ac:dyDescent="0.25">
      <c r="A26" s="136">
        <v>5</v>
      </c>
      <c r="B26" s="131">
        <f t="array" ref="B26:H26">Días+DATE(CalYear,MONTH($B$20),1)-WEEKDAY(DATE(CalYear,MONTH($B$20),1),(InicioDeLaSemana="Lunes")+1)+$A26*7-6</f>
        <v>45075</v>
      </c>
      <c r="C26" s="131">
        <v>45076</v>
      </c>
      <c r="D26" s="131">
        <v>45077</v>
      </c>
      <c r="E26" s="131">
        <v>45078</v>
      </c>
      <c r="F26" s="131">
        <v>45079</v>
      </c>
      <c r="G26" s="131">
        <v>45080</v>
      </c>
      <c r="H26" s="131">
        <v>45081</v>
      </c>
      <c r="I26" s="17"/>
      <c r="J26" s="131">
        <f t="array" ref="J26:P26">Días+DATE(CalYear,MONTH($J$20),1)-WEEKDAY(DATE(CalYear,MONTH($J$20),1),(InicioDeLaSemana="Lunes")+1)+$A26*7-6</f>
        <v>45103</v>
      </c>
      <c r="K26" s="131">
        <v>45104</v>
      </c>
      <c r="L26" s="131">
        <v>45105</v>
      </c>
      <c r="M26" s="131">
        <v>45106</v>
      </c>
      <c r="N26" s="131">
        <v>45107</v>
      </c>
      <c r="O26" s="131">
        <v>45108</v>
      </c>
      <c r="P26" s="131">
        <v>45109</v>
      </c>
      <c r="Q26" s="17"/>
      <c r="R26" s="131">
        <f t="array" ref="R26:X26">Días+DATE(CalYear,MONTH($R$20),1)-WEEKDAY(DATE(CalYear,MONTH($R$20),1),(InicioDeLaSemana="Lunes")+1)+$A26*7-6</f>
        <v>45131</v>
      </c>
      <c r="S26" s="131">
        <v>45132</v>
      </c>
      <c r="T26" s="131">
        <v>45133</v>
      </c>
      <c r="U26" s="131">
        <v>45134</v>
      </c>
      <c r="V26" s="131">
        <v>45135</v>
      </c>
      <c r="W26" s="131">
        <v>45136</v>
      </c>
      <c r="X26" s="132">
        <v>45137</v>
      </c>
      <c r="Y26" s="17"/>
      <c r="Z26" s="131">
        <f t="array" ref="Z26:AF26">Días+DATE(CalYear,MONTH($Z$20),1)-WEEKDAY(DATE(CalYear,MONTH($Z$20),1),(InicioDeLaSemana="Lunes")+1)+$A26*7-6</f>
        <v>45166</v>
      </c>
      <c r="AA26" s="131">
        <v>45167</v>
      </c>
      <c r="AB26" s="131">
        <v>45168</v>
      </c>
      <c r="AC26" s="131">
        <v>45169</v>
      </c>
      <c r="AD26" s="131">
        <v>45170</v>
      </c>
      <c r="AE26" s="131">
        <v>45171</v>
      </c>
      <c r="AF26" s="131">
        <v>45172</v>
      </c>
      <c r="AG26" s="125"/>
      <c r="AH26" s="142"/>
    </row>
    <row r="27" spans="1:34" s="16" customFormat="1" ht="15.75" x14ac:dyDescent="0.25">
      <c r="A27" s="136">
        <v>6</v>
      </c>
      <c r="B27" s="131">
        <f t="array" ref="B27:H27">Días+DATE(CalYear,MONTH($B$20),1)-WEEKDAY(DATE(CalYear,MONTH($B$20),1),(InicioDeLaSemana="Lunes")+1)+$A27*7-6</f>
        <v>45082</v>
      </c>
      <c r="C27" s="131">
        <v>45083</v>
      </c>
      <c r="D27" s="131">
        <v>45084</v>
      </c>
      <c r="E27" s="131">
        <v>45085</v>
      </c>
      <c r="F27" s="131">
        <v>45086</v>
      </c>
      <c r="G27" s="131">
        <v>45087</v>
      </c>
      <c r="H27" s="131">
        <v>45088</v>
      </c>
      <c r="I27" s="17"/>
      <c r="J27" s="131">
        <f t="array" ref="J27:P27">Días+DATE(CalYear,MONTH($J$20),1)-WEEKDAY(DATE(CalYear,MONTH($J$20),1),(InicioDeLaSemana="Lunes")+1)+$A27*7-6</f>
        <v>45110</v>
      </c>
      <c r="K27" s="131">
        <v>45111</v>
      </c>
      <c r="L27" s="131">
        <v>45112</v>
      </c>
      <c r="M27" s="131">
        <v>45113</v>
      </c>
      <c r="N27" s="131">
        <v>45114</v>
      </c>
      <c r="O27" s="131">
        <v>45115</v>
      </c>
      <c r="P27" s="131">
        <v>45116</v>
      </c>
      <c r="Q27" s="17"/>
      <c r="R27" s="131">
        <f t="array" ref="R27:X27">Días+DATE(CalYear,MONTH($R$20),1)-WEEKDAY(DATE(CalYear,MONTH($R$20),1),(InicioDeLaSemana="Lunes")+1)+$A27*7-6</f>
        <v>45138</v>
      </c>
      <c r="S27" s="131">
        <v>45139</v>
      </c>
      <c r="T27" s="131">
        <v>45140</v>
      </c>
      <c r="U27" s="131">
        <v>45141</v>
      </c>
      <c r="V27" s="131">
        <v>45142</v>
      </c>
      <c r="W27" s="131">
        <v>45143</v>
      </c>
      <c r="X27" s="131">
        <v>45144</v>
      </c>
      <c r="Y27" s="17"/>
      <c r="Z27" s="131">
        <f t="array" ref="Z27:AF27">Días+DATE(CalYear,MONTH($Z$20),1)-WEEKDAY(DATE(CalYear,MONTH($Z$20),1),(InicioDeLaSemana="Lunes")+1)+$A27*7-6</f>
        <v>45173</v>
      </c>
      <c r="AA27" s="131">
        <v>45174</v>
      </c>
      <c r="AB27" s="131">
        <v>45175</v>
      </c>
      <c r="AC27" s="131">
        <v>45176</v>
      </c>
      <c r="AD27" s="131">
        <v>45177</v>
      </c>
      <c r="AE27" s="131">
        <v>45178</v>
      </c>
      <c r="AF27" s="131">
        <v>45179</v>
      </c>
      <c r="AG27" s="125"/>
      <c r="AH27" s="142"/>
    </row>
    <row r="28" spans="1:34" x14ac:dyDescent="0.25">
      <c r="A28" s="135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141"/>
    </row>
    <row r="29" spans="1:34" s="15" customFormat="1" x14ac:dyDescent="0.25">
      <c r="A29" s="135"/>
      <c r="B29" s="801">
        <f>DATE(CalYear,9,1)</f>
        <v>45170</v>
      </c>
      <c r="C29" s="801"/>
      <c r="D29" s="801"/>
      <c r="E29" s="801"/>
      <c r="F29" s="801"/>
      <c r="G29" s="801"/>
      <c r="H29" s="801"/>
      <c r="I29" s="120"/>
      <c r="J29" s="801">
        <f>DATE(CalYear,10,1)</f>
        <v>45200</v>
      </c>
      <c r="K29" s="801"/>
      <c r="L29" s="801"/>
      <c r="M29" s="801"/>
      <c r="N29" s="801"/>
      <c r="O29" s="801"/>
      <c r="P29" s="801"/>
      <c r="Q29" s="120"/>
      <c r="R29" s="801">
        <f>DATE(CalYear,11,1)</f>
        <v>45231</v>
      </c>
      <c r="S29" s="801"/>
      <c r="T29" s="801"/>
      <c r="U29" s="801"/>
      <c r="V29" s="801"/>
      <c r="W29" s="801"/>
      <c r="X29" s="801"/>
      <c r="Y29" s="120"/>
      <c r="Z29" s="801">
        <f>DATE(CalYear,12,1)</f>
        <v>45261</v>
      </c>
      <c r="AA29" s="801"/>
      <c r="AB29" s="801"/>
      <c r="AC29" s="801"/>
      <c r="AD29" s="801"/>
      <c r="AE29" s="801"/>
      <c r="AF29" s="801"/>
      <c r="AG29" s="120"/>
      <c r="AH29" s="143"/>
    </row>
    <row r="30" spans="1:34" ht="24" customHeight="1" thickBot="1" x14ac:dyDescent="0.3">
      <c r="A30" s="137"/>
      <c r="B30" s="802" t="str">
        <f>UPPER(TEXT(B29,"MMMM"))</f>
        <v>SEPTIEMBRE</v>
      </c>
      <c r="C30" s="802"/>
      <c r="D30" s="802"/>
      <c r="E30" s="802"/>
      <c r="F30" s="802"/>
      <c r="G30" s="802"/>
      <c r="H30" s="802"/>
      <c r="I30" s="126"/>
      <c r="J30" s="802" t="str">
        <f>UPPER(TEXT(J29,"MMMM"))</f>
        <v>OCTUBRE</v>
      </c>
      <c r="K30" s="802"/>
      <c r="L30" s="802"/>
      <c r="M30" s="802"/>
      <c r="N30" s="802"/>
      <c r="O30" s="802"/>
      <c r="P30" s="802"/>
      <c r="Q30" s="126"/>
      <c r="R30" s="802" t="str">
        <f>UPPER(TEXT(R29,"MMMM"))</f>
        <v>NOVIEMBRE</v>
      </c>
      <c r="S30" s="802"/>
      <c r="T30" s="802"/>
      <c r="U30" s="802"/>
      <c r="V30" s="802"/>
      <c r="W30" s="802"/>
      <c r="X30" s="802"/>
      <c r="Y30" s="126"/>
      <c r="Z30" s="802" t="str">
        <f>UPPER(TEXT(Z29,"MMMM"))</f>
        <v>DICIEMBRE</v>
      </c>
      <c r="AA30" s="802"/>
      <c r="AB30" s="802"/>
      <c r="AC30" s="802"/>
      <c r="AD30" s="802"/>
      <c r="AE30" s="802"/>
      <c r="AF30" s="802"/>
      <c r="AG30" s="126"/>
      <c r="AH30" s="141"/>
    </row>
    <row r="31" spans="1:34" s="16" customFormat="1" ht="21" customHeight="1" thickTop="1" x14ac:dyDescent="0.25">
      <c r="A31" s="138">
        <v>1</v>
      </c>
      <c r="B31" s="127">
        <f t="array" ref="B31:H31">Días+DATE(CalYear,MONTH($B$29),1)-WEEKDAY(DATE(CalYear,MONTH($B$29),1),(InicioDeLaSemana="Lunes")+1)+$A31*7-6</f>
        <v>45166</v>
      </c>
      <c r="C31" s="127">
        <v>45167</v>
      </c>
      <c r="D31" s="127">
        <v>45168</v>
      </c>
      <c r="E31" s="127">
        <v>45169</v>
      </c>
      <c r="F31" s="127">
        <v>45170</v>
      </c>
      <c r="G31" s="127">
        <v>45171</v>
      </c>
      <c r="H31" s="128">
        <v>45172</v>
      </c>
      <c r="I31" s="129"/>
      <c r="J31" s="127">
        <f t="array" ref="J31:P31">Días+DATE(CalYear,MONTH($J$29),1)-WEEKDAY(DATE(CalYear,MONTH($J$29),1),(InicioDeLaSemana="Lunes")+1)+$A31*7-6</f>
        <v>45194</v>
      </c>
      <c r="K31" s="127">
        <v>45195</v>
      </c>
      <c r="L31" s="127">
        <v>45196</v>
      </c>
      <c r="M31" s="127">
        <v>45197</v>
      </c>
      <c r="N31" s="127">
        <v>45198</v>
      </c>
      <c r="O31" s="127">
        <v>45199</v>
      </c>
      <c r="P31" s="128">
        <v>45200</v>
      </c>
      <c r="Q31" s="129"/>
      <c r="R31" s="127">
        <f t="array" ref="R31:X31">Días+DATE(CalYear,MONTH($R$29),1)-WEEKDAY(DATE(CalYear,MONTH($R$29),1),(InicioDeLaSemana="Lunes")+1)+$A31*7-6</f>
        <v>45229</v>
      </c>
      <c r="S31" s="127">
        <v>45230</v>
      </c>
      <c r="T31" s="127">
        <v>45231</v>
      </c>
      <c r="U31" s="127">
        <v>45232</v>
      </c>
      <c r="V31" s="127">
        <v>45233</v>
      </c>
      <c r="W31" s="127">
        <v>45234</v>
      </c>
      <c r="X31" s="128">
        <v>45235</v>
      </c>
      <c r="Y31" s="129"/>
      <c r="Z31" s="127">
        <f t="array" ref="Z31:AF31">Días+DATE(CalYear,MONTH($Z$29),1)-WEEKDAY(DATE(CalYear,MONTH($Z$29),1),(InicioDeLaSemana="Lunes")+1)+$A31*7-6</f>
        <v>45257</v>
      </c>
      <c r="AA31" s="127">
        <v>45258</v>
      </c>
      <c r="AB31" s="127">
        <v>45259</v>
      </c>
      <c r="AC31" s="127">
        <v>45260</v>
      </c>
      <c r="AD31" s="127">
        <v>45261</v>
      </c>
      <c r="AE31" s="127">
        <v>45262</v>
      </c>
      <c r="AF31" s="128">
        <v>45263</v>
      </c>
      <c r="AG31" s="130"/>
      <c r="AH31" s="142"/>
    </row>
    <row r="32" spans="1:34" s="16" customFormat="1" ht="15.75" x14ac:dyDescent="0.25">
      <c r="A32" s="136">
        <v>2</v>
      </c>
      <c r="B32" s="131">
        <f t="array" ref="B32:H32">Días+DATE(CalYear,MONTH($B$29),1)-WEEKDAY(DATE(CalYear,MONTH($B$29),1),(InicioDeLaSemana="Lunes")+1)+$A32*7-6</f>
        <v>45173</v>
      </c>
      <c r="C32" s="131">
        <v>45174</v>
      </c>
      <c r="D32" s="131">
        <v>45175</v>
      </c>
      <c r="E32" s="131">
        <v>45176</v>
      </c>
      <c r="F32" s="131">
        <v>45177</v>
      </c>
      <c r="G32" s="131">
        <v>45178</v>
      </c>
      <c r="H32" s="132">
        <v>45179</v>
      </c>
      <c r="I32" s="17"/>
      <c r="J32" s="131">
        <f t="array" ref="J32:P32">Días+DATE(CalYear,MONTH($J$29),1)-WEEKDAY(DATE(CalYear,MONTH($J$29),1),(InicioDeLaSemana="Lunes")+1)+$A32*7-6</f>
        <v>45201</v>
      </c>
      <c r="K32" s="131">
        <v>45202</v>
      </c>
      <c r="L32" s="131">
        <v>45203</v>
      </c>
      <c r="M32" s="131">
        <v>45204</v>
      </c>
      <c r="N32" s="131">
        <v>45205</v>
      </c>
      <c r="O32" s="131">
        <v>45206</v>
      </c>
      <c r="P32" s="132">
        <v>45207</v>
      </c>
      <c r="Q32" s="17"/>
      <c r="R32" s="132">
        <f t="array" ref="R32:X32">Días+DATE(CalYear,MONTH($R$29),1)-WEEKDAY(DATE(CalYear,MONTH($R$29),1),(InicioDeLaSemana="Lunes")+1)+$A32*7-6</f>
        <v>45236</v>
      </c>
      <c r="S32" s="131">
        <v>45237</v>
      </c>
      <c r="T32" s="131">
        <v>45238</v>
      </c>
      <c r="U32" s="131">
        <v>45239</v>
      </c>
      <c r="V32" s="131">
        <v>45240</v>
      </c>
      <c r="W32" s="131">
        <v>45241</v>
      </c>
      <c r="X32" s="132">
        <v>45242</v>
      </c>
      <c r="Y32" s="17"/>
      <c r="Z32" s="131">
        <f t="array" ref="Z32:AF32">Días+DATE(CalYear,MONTH($Z$29),1)-WEEKDAY(DATE(CalYear,MONTH($Z$29),1),(InicioDeLaSemana="Lunes")+1)+$A32*7-6</f>
        <v>45264</v>
      </c>
      <c r="AA32" s="131">
        <v>45265</v>
      </c>
      <c r="AB32" s="131">
        <v>45266</v>
      </c>
      <c r="AC32" s="131">
        <v>45267</v>
      </c>
      <c r="AD32" s="132">
        <v>45268</v>
      </c>
      <c r="AE32" s="131">
        <v>45269</v>
      </c>
      <c r="AF32" s="132">
        <v>45270</v>
      </c>
      <c r="AG32" s="125"/>
      <c r="AH32" s="142"/>
    </row>
    <row r="33" spans="1:34" s="16" customFormat="1" ht="15.75" x14ac:dyDescent="0.25">
      <c r="A33" s="136">
        <v>3</v>
      </c>
      <c r="B33" s="131">
        <f t="array" ref="B33:H33">Días+DATE(CalYear,MONTH($B$29),1)-WEEKDAY(DATE(CalYear,MONTH($B$29),1),(InicioDeLaSemana="Lunes")+1)+$A33*7-6</f>
        <v>45180</v>
      </c>
      <c r="C33" s="131">
        <v>45181</v>
      </c>
      <c r="D33" s="131">
        <v>45182</v>
      </c>
      <c r="E33" s="131">
        <v>45183</v>
      </c>
      <c r="F33" s="131">
        <v>45184</v>
      </c>
      <c r="G33" s="131">
        <v>45185</v>
      </c>
      <c r="H33" s="132">
        <v>45186</v>
      </c>
      <c r="I33" s="17"/>
      <c r="J33" s="131">
        <f t="array" ref="J33:P33">Días+DATE(CalYear,MONTH($J$29),1)-WEEKDAY(DATE(CalYear,MONTH($J$29),1),(InicioDeLaSemana="Lunes")+1)+$A33*7-6</f>
        <v>45208</v>
      </c>
      <c r="K33" s="131">
        <v>45209</v>
      </c>
      <c r="L33" s="131">
        <v>45210</v>
      </c>
      <c r="M33" s="131">
        <v>45211</v>
      </c>
      <c r="N33" s="131">
        <v>45212</v>
      </c>
      <c r="O33" s="131">
        <v>45213</v>
      </c>
      <c r="P33" s="132">
        <v>45214</v>
      </c>
      <c r="Q33" s="17"/>
      <c r="R33" s="132">
        <f t="array" ref="R33:X33">Días+DATE(CalYear,MONTH($R$29),1)-WEEKDAY(DATE(CalYear,MONTH($R$29),1),(InicioDeLaSemana="Lunes")+1)+$A33*7-6</f>
        <v>45243</v>
      </c>
      <c r="S33" s="131">
        <v>45244</v>
      </c>
      <c r="T33" s="131">
        <v>45245</v>
      </c>
      <c r="U33" s="131">
        <v>45246</v>
      </c>
      <c r="V33" s="131">
        <v>45247</v>
      </c>
      <c r="W33" s="131">
        <v>45248</v>
      </c>
      <c r="X33" s="132">
        <v>45249</v>
      </c>
      <c r="Y33" s="17"/>
      <c r="Z33" s="131">
        <f t="array" ref="Z33:AF33">Días+DATE(CalYear,MONTH($Z$29),1)-WEEKDAY(DATE(CalYear,MONTH($Z$29),1),(InicioDeLaSemana="Lunes")+1)+$A33*7-6</f>
        <v>45271</v>
      </c>
      <c r="AA33" s="131">
        <v>45272</v>
      </c>
      <c r="AB33" s="131">
        <v>45273</v>
      </c>
      <c r="AC33" s="131">
        <v>45274</v>
      </c>
      <c r="AD33" s="131">
        <v>45275</v>
      </c>
      <c r="AE33" s="131">
        <v>45276</v>
      </c>
      <c r="AF33" s="132">
        <v>45277</v>
      </c>
      <c r="AG33" s="125"/>
      <c r="AH33" s="142"/>
    </row>
    <row r="34" spans="1:34" s="16" customFormat="1" ht="15.75" x14ac:dyDescent="0.25">
      <c r="A34" s="136">
        <v>4</v>
      </c>
      <c r="B34" s="131">
        <f t="array" ref="B34:H34">Días+DATE(CalYear,MONTH($B$29),1)-WEEKDAY(DATE(CalYear,MONTH($B$29),1),(InicioDeLaSemana="Lunes")+1)+$A34*7-6</f>
        <v>45187</v>
      </c>
      <c r="C34" s="131">
        <v>45188</v>
      </c>
      <c r="D34" s="131">
        <v>45189</v>
      </c>
      <c r="E34" s="131">
        <v>45190</v>
      </c>
      <c r="F34" s="131">
        <v>45191</v>
      </c>
      <c r="G34" s="131">
        <v>45192</v>
      </c>
      <c r="H34" s="132">
        <v>45193</v>
      </c>
      <c r="I34" s="17"/>
      <c r="J34" s="132">
        <f t="array" ref="J34:P34">Días+DATE(CalYear,MONTH($J$29),1)-WEEKDAY(DATE(CalYear,MONTH($J$29),1),(InicioDeLaSemana="Lunes")+1)+$A34*7-6</f>
        <v>45215</v>
      </c>
      <c r="K34" s="131">
        <v>45216</v>
      </c>
      <c r="L34" s="131">
        <v>45217</v>
      </c>
      <c r="M34" s="131">
        <v>45218</v>
      </c>
      <c r="N34" s="131">
        <v>45219</v>
      </c>
      <c r="O34" s="131">
        <v>45220</v>
      </c>
      <c r="P34" s="132">
        <v>45221</v>
      </c>
      <c r="Q34" s="17"/>
      <c r="R34" s="131">
        <f t="array" ref="R34:X34">Días+DATE(CalYear,MONTH($R$29),1)-WEEKDAY(DATE(CalYear,MONTH($R$29),1),(InicioDeLaSemana="Lunes")+1)+$A34*7-6</f>
        <v>45250</v>
      </c>
      <c r="S34" s="131">
        <v>45251</v>
      </c>
      <c r="T34" s="131">
        <v>45252</v>
      </c>
      <c r="U34" s="131">
        <v>45253</v>
      </c>
      <c r="V34" s="131">
        <v>45254</v>
      </c>
      <c r="W34" s="131">
        <v>45255</v>
      </c>
      <c r="X34" s="132">
        <v>45256</v>
      </c>
      <c r="Y34" s="17"/>
      <c r="Z34" s="131">
        <f t="array" ref="Z34:AF34">Días+DATE(CalYear,MONTH($Z$29),1)-WEEKDAY(DATE(CalYear,MONTH($Z$29),1),(InicioDeLaSemana="Lunes")+1)+$A34*7-6</f>
        <v>45278</v>
      </c>
      <c r="AA34" s="131">
        <v>45279</v>
      </c>
      <c r="AB34" s="131">
        <v>45280</v>
      </c>
      <c r="AC34" s="131">
        <v>45281</v>
      </c>
      <c r="AD34" s="131">
        <v>45282</v>
      </c>
      <c r="AE34" s="131">
        <v>45283</v>
      </c>
      <c r="AF34" s="132">
        <v>45284</v>
      </c>
      <c r="AG34" s="125"/>
      <c r="AH34" s="142"/>
    </row>
    <row r="35" spans="1:34" s="16" customFormat="1" ht="15.75" x14ac:dyDescent="0.25">
      <c r="A35" s="136">
        <v>5</v>
      </c>
      <c r="B35" s="131">
        <f t="array" ref="B35:H35">Días+DATE(CalYear,MONTH($B$29),1)-WEEKDAY(DATE(CalYear,MONTH($B$29),1),(InicioDeLaSemana="Lunes")+1)+$A35*7-6</f>
        <v>45194</v>
      </c>
      <c r="C35" s="131">
        <v>45195</v>
      </c>
      <c r="D35" s="131">
        <v>45196</v>
      </c>
      <c r="E35" s="131">
        <v>45197</v>
      </c>
      <c r="F35" s="131">
        <v>45198</v>
      </c>
      <c r="G35" s="131">
        <v>45199</v>
      </c>
      <c r="H35" s="131">
        <v>45200</v>
      </c>
      <c r="I35" s="17"/>
      <c r="J35" s="131">
        <f t="array" ref="J35:P35">Días+DATE(CalYear,MONTH($J$29),1)-WEEKDAY(DATE(CalYear,MONTH($J$29),1),(InicioDeLaSemana="Lunes")+1)+$A35*7-6</f>
        <v>45222</v>
      </c>
      <c r="K35" s="131">
        <v>45223</v>
      </c>
      <c r="L35" s="131">
        <v>45224</v>
      </c>
      <c r="M35" s="131">
        <v>45225</v>
      </c>
      <c r="N35" s="131">
        <v>45226</v>
      </c>
      <c r="O35" s="131">
        <v>45227</v>
      </c>
      <c r="P35" s="132">
        <v>45228</v>
      </c>
      <c r="Q35" s="17"/>
      <c r="R35" s="131">
        <f t="array" ref="R35:X35">Días+DATE(CalYear,MONTH($R$29),1)-WEEKDAY(DATE(CalYear,MONTH($R$29),1),(InicioDeLaSemana="Lunes")+1)+$A35*7-6</f>
        <v>45257</v>
      </c>
      <c r="S35" s="131">
        <v>45258</v>
      </c>
      <c r="T35" s="131">
        <v>45259</v>
      </c>
      <c r="U35" s="131">
        <v>45260</v>
      </c>
      <c r="V35" s="131">
        <v>45261</v>
      </c>
      <c r="W35" s="131">
        <v>45262</v>
      </c>
      <c r="X35" s="131">
        <v>45263</v>
      </c>
      <c r="Y35" s="17"/>
      <c r="Z35" s="132">
        <f t="array" ref="Z35:AF35">Días+DATE(CalYear,MONTH($Z$29),1)-WEEKDAY(DATE(CalYear,MONTH($Z$29),1),(InicioDeLaSemana="Lunes")+1)+$A35*7-6</f>
        <v>45285</v>
      </c>
      <c r="AA35" s="131">
        <v>45286</v>
      </c>
      <c r="AB35" s="131">
        <v>45287</v>
      </c>
      <c r="AC35" s="131">
        <v>45288</v>
      </c>
      <c r="AD35" s="131">
        <v>45289</v>
      </c>
      <c r="AE35" s="131">
        <v>45290</v>
      </c>
      <c r="AF35" s="132">
        <v>45291</v>
      </c>
      <c r="AG35" s="125"/>
      <c r="AH35" s="142"/>
    </row>
    <row r="36" spans="1:34" s="16" customFormat="1" ht="15.75" x14ac:dyDescent="0.25">
      <c r="A36" s="136">
        <v>6</v>
      </c>
      <c r="B36" s="131">
        <f t="array" ref="B36:H36">Días+DATE(CalYear,MONTH($B$29),1)-WEEKDAY(DATE(CalYear,MONTH($B$29),1),(InicioDeLaSemana="Lunes")+1)+$A36*7-6</f>
        <v>45201</v>
      </c>
      <c r="C36" s="131">
        <v>45202</v>
      </c>
      <c r="D36" s="131">
        <v>45203</v>
      </c>
      <c r="E36" s="131">
        <v>45204</v>
      </c>
      <c r="F36" s="131">
        <v>45205</v>
      </c>
      <c r="G36" s="131">
        <v>45206</v>
      </c>
      <c r="H36" s="131">
        <v>45207</v>
      </c>
      <c r="I36" s="17"/>
      <c r="J36" s="131">
        <f t="array" ref="J36:P36">Días+DATE(CalYear,MONTH($J$29),1)-WEEKDAY(DATE(CalYear,MONTH($J$29),1),(InicioDeLaSemana="Lunes")+1)+$A36*7-6</f>
        <v>45229</v>
      </c>
      <c r="K36" s="131">
        <v>45230</v>
      </c>
      <c r="L36" s="131">
        <v>45231</v>
      </c>
      <c r="M36" s="131">
        <v>45232</v>
      </c>
      <c r="N36" s="131">
        <v>45233</v>
      </c>
      <c r="O36" s="131">
        <v>45234</v>
      </c>
      <c r="P36" s="131">
        <v>45235</v>
      </c>
      <c r="Q36" s="17"/>
      <c r="R36" s="131">
        <f t="array" ref="R36:X36">Días+DATE(CalYear,MONTH($R$29),1)-WEEKDAY(DATE(CalYear,MONTH($R$29),1),(InicioDeLaSemana="Lunes")+1)+$A36*7-6</f>
        <v>45264</v>
      </c>
      <c r="S36" s="131">
        <v>45265</v>
      </c>
      <c r="T36" s="131">
        <v>45266</v>
      </c>
      <c r="U36" s="131">
        <v>45267</v>
      </c>
      <c r="V36" s="131">
        <v>45268</v>
      </c>
      <c r="W36" s="131">
        <v>45269</v>
      </c>
      <c r="X36" s="131">
        <v>45270</v>
      </c>
      <c r="Y36" s="17"/>
      <c r="Z36" s="131">
        <f t="array" ref="Z36:AF36">Días+DATE(CalYear,MONTH($Z$29),1)-WEEKDAY(DATE(CalYear,MONTH($Z$29),1),(InicioDeLaSemana="Lunes")+1)+$A36*7-6</f>
        <v>45292</v>
      </c>
      <c r="AA36" s="131">
        <v>45293</v>
      </c>
      <c r="AB36" s="131">
        <v>45294</v>
      </c>
      <c r="AC36" s="131">
        <v>45295</v>
      </c>
      <c r="AD36" s="131">
        <v>45296</v>
      </c>
      <c r="AE36" s="131">
        <v>45297</v>
      </c>
      <c r="AF36" s="131">
        <v>45298</v>
      </c>
      <c r="AG36" s="125"/>
      <c r="AH36" s="142"/>
    </row>
    <row r="37" spans="1:34" x14ac:dyDescent="0.25">
      <c r="A37" s="135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141"/>
    </row>
    <row r="38" spans="1:34" x14ac:dyDescent="0.25">
      <c r="A38" s="135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141"/>
    </row>
    <row r="39" spans="1:34" x14ac:dyDescent="0.25">
      <c r="A39" s="139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44"/>
    </row>
  </sheetData>
  <sheetProtection algorithmName="SHA-512" hashValue="/CIijy+FDFJ1fGSszRObxy0TbMjWRfwFa+1Hmk9uB0mSL3jgmZB3F97klYYLQgz2dfoRWQ2scbBOa9S3HXi9JQ==" saltValue="aMtycNsAOoIQS8oPBlYMyw==" spinCount="100000" sheet="1" objects="1" scenarios="1"/>
  <protectedRanges>
    <protectedRange algorithmName="SHA-512" hashValue="STR/SPRi9zq9ARc9dL2Lxq9gct3J4DnJO/tuReIyIlhyXEyC4DsjtLXqw1GdNO//zYNxq5GHcS1WMlT+6iF4dg==" saltValue="8QAQ6/TLDHEBZ1cymuFMFg==" spinCount="100000" sqref="B10:AF36" name="Calendario2023"/>
  </protectedRanges>
  <mergeCells count="31">
    <mergeCell ref="B29:H29"/>
    <mergeCell ref="J29:P29"/>
    <mergeCell ref="R29:X29"/>
    <mergeCell ref="Z29:AF29"/>
    <mergeCell ref="B30:H30"/>
    <mergeCell ref="J30:P30"/>
    <mergeCell ref="R30:X30"/>
    <mergeCell ref="Z30:AF30"/>
    <mergeCell ref="B20:H20"/>
    <mergeCell ref="J20:P20"/>
    <mergeCell ref="R20:X20"/>
    <mergeCell ref="Z20:AF20"/>
    <mergeCell ref="B21:H21"/>
    <mergeCell ref="J21:P21"/>
    <mergeCell ref="R21:X21"/>
    <mergeCell ref="Z21:AF21"/>
    <mergeCell ref="B11:H11"/>
    <mergeCell ref="J11:P11"/>
    <mergeCell ref="R11:X11"/>
    <mergeCell ref="Z11:AF11"/>
    <mergeCell ref="B12:H12"/>
    <mergeCell ref="J12:P12"/>
    <mergeCell ref="R12:X12"/>
    <mergeCell ref="Z12:AF12"/>
    <mergeCell ref="W2:Z3"/>
    <mergeCell ref="B4:H4"/>
    <mergeCell ref="I4:K4"/>
    <mergeCell ref="R4:AF8"/>
    <mergeCell ref="B5:H5"/>
    <mergeCell ref="B6:H6"/>
    <mergeCell ref="B2:R2"/>
  </mergeCells>
  <conditionalFormatting sqref="B13:H13">
    <cfRule type="expression" dxfId="76" priority="26">
      <formula>DAY(B13)&gt;7</formula>
    </cfRule>
  </conditionalFormatting>
  <conditionalFormatting sqref="B17:H18">
    <cfRule type="expression" dxfId="75" priority="14">
      <formula>DAY(B17)&lt;15</formula>
    </cfRule>
  </conditionalFormatting>
  <conditionalFormatting sqref="B22:H22">
    <cfRule type="expression" dxfId="74" priority="19">
      <formula>DAY(B22)&gt;7</formula>
    </cfRule>
  </conditionalFormatting>
  <conditionalFormatting sqref="B26:H27">
    <cfRule type="expression" dxfId="73" priority="7">
      <formula>DAY(B26)&lt;15</formula>
    </cfRule>
  </conditionalFormatting>
  <conditionalFormatting sqref="B31:H31">
    <cfRule type="expression" dxfId="72" priority="18">
      <formula>DAY(B31)&gt;7</formula>
    </cfRule>
  </conditionalFormatting>
  <conditionalFormatting sqref="B35:H36">
    <cfRule type="expression" dxfId="71" priority="6">
      <formula>DAY(B35)&lt;15</formula>
    </cfRule>
  </conditionalFormatting>
  <conditionalFormatting sqref="J13:P13">
    <cfRule type="expression" dxfId="70" priority="25">
      <formula>DAY(J13)&gt;7</formula>
    </cfRule>
  </conditionalFormatting>
  <conditionalFormatting sqref="J17:P18">
    <cfRule type="expression" dxfId="69" priority="13">
      <formula>DAY(J17)&lt;15</formula>
    </cfRule>
  </conditionalFormatting>
  <conditionalFormatting sqref="J22:P22">
    <cfRule type="expression" dxfId="68" priority="20">
      <formula>DAY(J22)&gt;7</formula>
    </cfRule>
  </conditionalFormatting>
  <conditionalFormatting sqref="J26:P27">
    <cfRule type="expression" dxfId="67" priority="8">
      <formula>DAY(J26)&lt;15</formula>
    </cfRule>
  </conditionalFormatting>
  <conditionalFormatting sqref="J31:P31">
    <cfRule type="expression" dxfId="66" priority="17">
      <formula>DAY(J31)&gt;7</formula>
    </cfRule>
  </conditionalFormatting>
  <conditionalFormatting sqref="J35:P36">
    <cfRule type="expression" dxfId="65" priority="5">
      <formula>DAY(J35)&lt;15</formula>
    </cfRule>
  </conditionalFormatting>
  <conditionalFormatting sqref="R13:X13">
    <cfRule type="expression" dxfId="64" priority="24">
      <formula>DAY(R13)&gt;7</formula>
    </cfRule>
  </conditionalFormatting>
  <conditionalFormatting sqref="R17:X18">
    <cfRule type="expression" dxfId="63" priority="12">
      <formula>DAY(R17)&lt;15</formula>
    </cfRule>
  </conditionalFormatting>
  <conditionalFormatting sqref="R22:X22">
    <cfRule type="expression" dxfId="62" priority="21">
      <formula>DAY(R22)&gt;7</formula>
    </cfRule>
  </conditionalFormatting>
  <conditionalFormatting sqref="R26:X27">
    <cfRule type="expression" dxfId="61" priority="9">
      <formula>DAY(R26)&lt;15</formula>
    </cfRule>
  </conditionalFormatting>
  <conditionalFormatting sqref="R31:X31">
    <cfRule type="expression" dxfId="60" priority="16">
      <formula>DAY(R31)&gt;7</formula>
    </cfRule>
  </conditionalFormatting>
  <conditionalFormatting sqref="R35:X36">
    <cfRule type="expression" dxfId="59" priority="4">
      <formula>DAY(R35)&lt;15</formula>
    </cfRule>
  </conditionalFormatting>
  <conditionalFormatting sqref="Z13:AF13">
    <cfRule type="expression" dxfId="58" priority="23">
      <formula>DAY(Z13)&gt;7</formula>
    </cfRule>
  </conditionalFormatting>
  <conditionalFormatting sqref="Z17:AF18">
    <cfRule type="expression" dxfId="57" priority="11">
      <formula>DAY(Z17)&lt;15</formula>
    </cfRule>
  </conditionalFormatting>
  <conditionalFormatting sqref="Z22:AF22">
    <cfRule type="expression" dxfId="56" priority="22">
      <formula>DAY(Z22)&gt;7</formula>
    </cfRule>
  </conditionalFormatting>
  <conditionalFormatting sqref="Z26:AF27">
    <cfRule type="expression" dxfId="55" priority="10">
      <formula>DAY(Z26)&lt;15</formula>
    </cfRule>
  </conditionalFormatting>
  <conditionalFormatting sqref="Z31:AF31">
    <cfRule type="expression" dxfId="54" priority="15">
      <formula>DAY(Z31)&gt;7</formula>
    </cfRule>
  </conditionalFormatting>
  <conditionalFormatting sqref="Z35:AF36">
    <cfRule type="expression" dxfId="53" priority="3">
      <formula>DAY(Z35)&lt;15</formula>
    </cfRule>
  </conditionalFormatting>
  <dataValidations disablePrompts="1" count="1">
    <dataValidation type="list" allowBlank="1" showInputMessage="1" showErrorMessage="1" errorTitle="¡Vaya!" error="Para que este calendario funcione correctamente, debe seleccionar un día laborable de la lista desplegable o escribir uno en la celda I4." sqref="I4:K4" xr:uid="{204B3142-0605-495E-B1A2-9A49A996307A}">
      <formula1>"DOMINGO,LUNES"</formula1>
    </dataValidation>
  </dataValidations>
  <printOptions horizontalCentered="1"/>
  <pageMargins left="0.4" right="0.4" top="0.4" bottom="0.4" header="0.3" footer="0.3"/>
  <pageSetup paperSize="9" scale="78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howHolidaysCtrl">
              <controlPr defaultSize="0" autoFill="0" autoLine="0" autoPict="0" altText="Check to show holidays on the month sheets and uncheck to not show any.">
                <anchor moveWithCells="1">
                  <from>
                    <xdr:col>8</xdr:col>
                    <xdr:colOff>19050</xdr:colOff>
                    <xdr:row>4</xdr:row>
                    <xdr:rowOff>85725</xdr:rowOff>
                  </from>
                  <to>
                    <xdr:col>8</xdr:col>
                    <xdr:colOff>295275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ontrol numérico 1">
              <controlPr defaultSize="0" print="0" autoPict="0" altText="Click the spinner to change the calendar year.">
                <anchor moveWithCells="1" sizeWithCells="1">
                  <from>
                    <xdr:col>30</xdr:col>
                    <xdr:colOff>190500</xdr:colOff>
                    <xdr:row>5</xdr:row>
                    <xdr:rowOff>209550</xdr:rowOff>
                  </from>
                  <to>
                    <xdr:col>31</xdr:col>
                    <xdr:colOff>152400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AF4674-DEE4-4E49-8FF8-91CF4E4A05AC}">
            <xm:f>VLOOKUP(B10,'Días festivos'!$F:$F,1,FALSE)</xm:f>
            <x14:dxf>
              <font>
                <b/>
                <i val="0"/>
                <color rgb="FFFF0000"/>
              </font>
            </x14:dxf>
          </x14:cfRule>
          <xm:sqref>B10:AF10</xm:sqref>
        </x14:conditionalFormatting>
        <x14:conditionalFormatting xmlns:xm="http://schemas.microsoft.com/office/excel/2006/main">
          <x14:cfRule type="expression" priority="2" id="{3BF2439D-57B2-4F66-91A9-D656E6F5D002}">
            <xm:f>VLOOKUP(B13,'Días festivos'!$F:$F,1,FALSE)</xm:f>
            <x14:dxf>
              <font>
                <b/>
                <i val="0"/>
                <color rgb="FFFF0000"/>
              </font>
            </x14:dxf>
          </x14:cfRule>
          <xm:sqref>B13:AF18 B22:AF27 B31:AF36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2B7E4-C498-470F-A29B-E203316E5579}">
  <sheetPr>
    <tabColor rgb="FFFFFF00"/>
    <pageSetUpPr autoPageBreaks="0" fitToPage="1"/>
  </sheetPr>
  <dimension ref="A1:I17"/>
  <sheetViews>
    <sheetView showGridLines="0" showRowColHeaders="0" zoomScale="106" zoomScaleNormal="106" workbookViewId="0">
      <pane ySplit="4" topLeftCell="A7" activePane="bottomLeft" state="frozen"/>
      <selection activeCell="E12" sqref="E12"/>
      <selection pane="bottomLeft"/>
    </sheetView>
  </sheetViews>
  <sheetFormatPr baseColWidth="10" defaultColWidth="0" defaultRowHeight="15" zeroHeight="1" x14ac:dyDescent="0.25"/>
  <cols>
    <col min="1" max="1" width="0.85546875" style="25" customWidth="1"/>
    <col min="2" max="2" width="18.28515625" style="26" customWidth="1"/>
    <col min="3" max="8" width="17.7109375" style="26" customWidth="1"/>
    <col min="9" max="9" width="0.85546875" style="26" customWidth="1"/>
    <col min="10" max="16384" width="8.85546875" style="27" hidden="1"/>
  </cols>
  <sheetData>
    <row r="1" spans="1:9" x14ac:dyDescent="0.25">
      <c r="B1" s="145"/>
      <c r="C1" s="146"/>
      <c r="D1" s="146"/>
      <c r="E1" s="110"/>
      <c r="F1" s="110"/>
      <c r="G1" s="110"/>
      <c r="H1" s="111"/>
    </row>
    <row r="2" spans="1:9" ht="30" customHeight="1" thickBot="1" x14ac:dyDescent="0.3">
      <c r="B2" s="803">
        <f>B9</f>
        <v>44935</v>
      </c>
      <c r="C2" s="804"/>
      <c r="D2" s="804"/>
      <c r="E2" s="28"/>
      <c r="F2" s="28"/>
      <c r="G2" s="28"/>
      <c r="H2" s="87"/>
    </row>
    <row r="3" spans="1:9" ht="18" customHeight="1" thickTop="1" x14ac:dyDescent="0.25">
      <c r="B3" s="79"/>
      <c r="C3" s="25"/>
      <c r="D3" s="25"/>
      <c r="E3" s="25"/>
      <c r="F3" s="25"/>
      <c r="G3" s="25"/>
      <c r="H3" s="86"/>
    </row>
    <row r="4" spans="1:9" ht="24" customHeight="1" thickBot="1" x14ac:dyDescent="0.3">
      <c r="B4" s="113" t="str">
        <f>InicioDeLaSemana</f>
        <v>LUNES</v>
      </c>
      <c r="C4" s="114" t="str">
        <f>UPPER(TEXT(C5,"dddd"))</f>
        <v>MARTES</v>
      </c>
      <c r="D4" s="115" t="str">
        <f t="shared" ref="D4:H4" si="0">UPPER(TEXT(D5,"dddd"))</f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33" customFormat="1" ht="19.5" customHeight="1" thickTop="1" x14ac:dyDescent="0.25">
      <c r="A5" s="29"/>
      <c r="B5" s="112">
        <f t="array" ref="B5:H5">Días+DATE(CalYear,1,1)-WEEKDAY(DATE(CalYear,1,1),(InicioDeLaSemana="Lunes")+1)+1</f>
        <v>44921</v>
      </c>
      <c r="C5" s="30">
        <v>44922</v>
      </c>
      <c r="D5" s="31">
        <v>44923</v>
      </c>
      <c r="E5" s="31">
        <v>44924</v>
      </c>
      <c r="F5" s="31">
        <v>44925</v>
      </c>
      <c r="G5" s="31">
        <v>44926</v>
      </c>
      <c r="H5" s="88">
        <v>44927</v>
      </c>
      <c r="I5" s="32"/>
    </row>
    <row r="6" spans="1:9" ht="57.95" customHeight="1" x14ac:dyDescent="0.25">
      <c r="B6" s="80"/>
      <c r="C6" s="34"/>
      <c r="D6" s="34"/>
      <c r="E6" s="34"/>
      <c r="F6" s="34"/>
      <c r="G6" s="35"/>
      <c r="H6" s="89"/>
    </row>
    <row r="7" spans="1:9" s="33" customFormat="1" ht="19.5" customHeight="1" x14ac:dyDescent="0.25">
      <c r="A7" s="29"/>
      <c r="B7" s="81">
        <f t="array" ref="B7:H7">Días+DATE(CalYear,1,1)-WEEKDAY(DATE(CalYear,1,1),(InicioDeLaSemana="Lunes")+1)+8</f>
        <v>44928</v>
      </c>
      <c r="C7" s="57">
        <v>44929</v>
      </c>
      <c r="D7" s="57">
        <v>44930</v>
      </c>
      <c r="E7" s="57">
        <v>44931</v>
      </c>
      <c r="F7" s="57">
        <v>44932</v>
      </c>
      <c r="G7" s="57">
        <v>44933</v>
      </c>
      <c r="H7" s="90">
        <v>44934</v>
      </c>
      <c r="I7" s="32"/>
    </row>
    <row r="8" spans="1:9" ht="57.95" customHeight="1" x14ac:dyDescent="0.25">
      <c r="B8" s="82"/>
      <c r="C8" s="36"/>
      <c r="D8" s="36"/>
      <c r="E8" s="36"/>
      <c r="F8" s="36"/>
      <c r="G8" s="37"/>
      <c r="H8" s="91"/>
    </row>
    <row r="9" spans="1:9" s="33" customFormat="1" ht="19.5" customHeight="1" x14ac:dyDescent="0.25">
      <c r="A9" s="29"/>
      <c r="B9" s="83">
        <f t="array" ref="B9:H9">Días+DATE(CalYear,1,1)-WEEKDAY(DATE(CalYear,1,1),(InicioDeLaSemana="Lunes")+1)+15</f>
        <v>44935</v>
      </c>
      <c r="C9" s="58">
        <v>44936</v>
      </c>
      <c r="D9" s="58">
        <v>44937</v>
      </c>
      <c r="E9" s="58">
        <v>44938</v>
      </c>
      <c r="F9" s="58">
        <v>44939</v>
      </c>
      <c r="G9" s="58">
        <v>44940</v>
      </c>
      <c r="H9" s="92">
        <v>44941</v>
      </c>
      <c r="I9" s="32"/>
    </row>
    <row r="10" spans="1:9" ht="57.95" customHeight="1" x14ac:dyDescent="0.25">
      <c r="B10" s="84"/>
      <c r="C10" s="38"/>
      <c r="D10" s="38"/>
      <c r="E10" s="38"/>
      <c r="F10" s="38"/>
      <c r="G10" s="39"/>
      <c r="H10" s="93"/>
    </row>
    <row r="11" spans="1:9" s="33" customFormat="1" ht="19.5" customHeight="1" x14ac:dyDescent="0.25">
      <c r="A11" s="29"/>
      <c r="B11" s="81">
        <f t="array" ref="B11:H11">Días+DATE(CalYear,1,1)-WEEKDAY(DATE(CalYear,1,1),(InicioDeLaSemana="Lunes")+1)+22</f>
        <v>44942</v>
      </c>
      <c r="C11" s="57">
        <v>44943</v>
      </c>
      <c r="D11" s="57">
        <v>44944</v>
      </c>
      <c r="E11" s="57">
        <v>44945</v>
      </c>
      <c r="F11" s="57">
        <v>44946</v>
      </c>
      <c r="G11" s="57">
        <v>44947</v>
      </c>
      <c r="H11" s="90">
        <v>44948</v>
      </c>
      <c r="I11" s="32"/>
    </row>
    <row r="12" spans="1:9" ht="57.95" customHeight="1" x14ac:dyDescent="0.25">
      <c r="B12" s="82"/>
      <c r="C12" s="36"/>
      <c r="D12" s="36"/>
      <c r="E12" s="36"/>
      <c r="F12" s="36"/>
      <c r="G12" s="37"/>
      <c r="H12" s="91"/>
    </row>
    <row r="13" spans="1:9" s="33" customFormat="1" ht="19.5" customHeight="1" x14ac:dyDescent="0.25">
      <c r="A13" s="29"/>
      <c r="B13" s="85">
        <f t="array" ref="B13:H13">Días+DATE(CalYear,1,1)-WEEKDAY(DATE(CalYear,1,1),(InicioDeLaSemana="Lunes")+1)+29</f>
        <v>44949</v>
      </c>
      <c r="C13" s="58">
        <v>44950</v>
      </c>
      <c r="D13" s="58">
        <v>44951</v>
      </c>
      <c r="E13" s="58">
        <v>44952</v>
      </c>
      <c r="F13" s="58">
        <v>44953</v>
      </c>
      <c r="G13" s="58">
        <v>44954</v>
      </c>
      <c r="H13" s="92">
        <v>44955</v>
      </c>
      <c r="I13" s="32"/>
    </row>
    <row r="14" spans="1:9" ht="57.95" customHeight="1" x14ac:dyDescent="0.25">
      <c r="B14" s="84"/>
      <c r="C14" s="38"/>
      <c r="D14" s="38"/>
      <c r="E14" s="38"/>
      <c r="F14" s="38"/>
      <c r="G14" s="39"/>
      <c r="H14" s="93"/>
    </row>
    <row r="15" spans="1:9" ht="19.5" customHeight="1" x14ac:dyDescent="0.25">
      <c r="B15" s="81">
        <f t="array" ref="B15:C15">Días+DATE(CalYear,1,1)-WEEKDAY(DATE(CalYear,1,1),(InicioDeLaSemana="Lunes")+1)+36</f>
        <v>44956</v>
      </c>
      <c r="C15" s="57">
        <v>44957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82"/>
      <c r="C16" s="36"/>
      <c r="D16" s="807"/>
      <c r="E16" s="807"/>
      <c r="F16" s="807"/>
      <c r="G16" s="807"/>
      <c r="H16" s="808"/>
    </row>
    <row r="17" spans="2:8" x14ac:dyDescent="0.25">
      <c r="B17" s="809"/>
      <c r="C17" s="810"/>
      <c r="D17" s="810"/>
      <c r="E17" s="810"/>
      <c r="F17" s="810"/>
      <c r="G17" s="810"/>
      <c r="H17" s="811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50" priority="5">
      <formula>AND(DAY(B13)&gt;=1,DAY(B13)&lt;=15)</formula>
    </cfRule>
  </conditionalFormatting>
  <conditionalFormatting sqref="B5:G5">
    <cfRule type="expression" dxfId="49" priority="4">
      <formula>DAY(B5)&gt;8</formula>
    </cfRule>
  </conditionalFormatting>
  <conditionalFormatting sqref="B6:H6 B8:H8 B10:H10 B12:H12 B14:H14 B16:C16">
    <cfRule type="notContainsBlanks" dxfId="48" priority="6">
      <formula>LEN(TRIM(B6))&gt;0</formula>
    </cfRule>
  </conditionalFormatting>
  <conditionalFormatting sqref="B5:H14 B16:H16 B15:C15">
    <cfRule type="expression" dxfId="47" priority="2">
      <formula>B5=TODAY()</formula>
    </cfRule>
  </conditionalFormatting>
  <conditionalFormatting sqref="D15:H15">
    <cfRule type="expression" dxfId="46" priority="1">
      <formula>D15=TODAY()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FFCEB-30DB-42AE-9BC2-B94134583B48}">
  <sheetPr>
    <tabColor rgb="FFFFFF00"/>
    <pageSetUpPr fitToPage="1"/>
  </sheetPr>
  <dimension ref="A1:J17"/>
  <sheetViews>
    <sheetView showGridLines="0" showRowColHeaders="0" zoomScaleNormal="100" workbookViewId="0">
      <pane ySplit="4" topLeftCell="A8" activePane="bottomLeft" state="frozen"/>
      <selection activeCell="E12" sqref="E12"/>
      <selection pane="bottomLeft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44970</v>
      </c>
      <c r="C2" s="804"/>
      <c r="D2" s="804"/>
      <c r="E2" s="22"/>
      <c r="F2" s="22"/>
      <c r="G2" s="22"/>
      <c r="H2" s="96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94">
        <f t="array" ref="B5:H5">Días+DATE(CalYear,2,1)-WEEKDAY(DATE(CalYear,2,1),(InicioDeLaSemana="Lunes")+1)+1</f>
        <v>44956</v>
      </c>
      <c r="C5" s="21">
        <v>44957</v>
      </c>
      <c r="D5" s="61">
        <v>44958</v>
      </c>
      <c r="E5" s="61">
        <v>44959</v>
      </c>
      <c r="F5" s="61">
        <v>44960</v>
      </c>
      <c r="G5" s="61">
        <v>44961</v>
      </c>
      <c r="H5" s="67">
        <v>44962</v>
      </c>
      <c r="I5" s="18"/>
    </row>
    <row r="6" spans="1:9" ht="57.95" customHeight="1" x14ac:dyDescent="0.25">
      <c r="B6" s="73"/>
      <c r="C6" s="4"/>
      <c r="D6" s="4"/>
      <c r="E6" s="4"/>
      <c r="F6" s="4"/>
      <c r="G6" s="5"/>
      <c r="H6" s="68"/>
    </row>
    <row r="7" spans="1:9" s="19" customFormat="1" ht="19.5" customHeight="1" x14ac:dyDescent="0.25">
      <c r="A7" s="17"/>
      <c r="B7" s="74">
        <f t="array" ref="B7:H7">Días+DATE(CalYear,2,1)-WEEKDAY(DATE(CalYear,2,1),(InicioDeLaSemana="Lunes")+1)+8</f>
        <v>44963</v>
      </c>
      <c r="C7" s="60">
        <v>44964</v>
      </c>
      <c r="D7" s="60">
        <v>44965</v>
      </c>
      <c r="E7" s="60">
        <v>44966</v>
      </c>
      <c r="F7" s="60">
        <v>44967</v>
      </c>
      <c r="G7" s="60">
        <v>44968</v>
      </c>
      <c r="H7" s="65">
        <v>44969</v>
      </c>
      <c r="I7" s="18"/>
    </row>
    <row r="8" spans="1:9" ht="57.95" customHeight="1" x14ac:dyDescent="0.25">
      <c r="B8" s="75"/>
      <c r="C8" s="2"/>
      <c r="D8" s="2"/>
      <c r="E8" s="2"/>
      <c r="F8" s="2"/>
      <c r="G8" s="3"/>
      <c r="H8" s="69"/>
    </row>
    <row r="9" spans="1:9" s="19" customFormat="1" ht="19.5" customHeight="1" x14ac:dyDescent="0.25">
      <c r="A9" s="17"/>
      <c r="B9" s="76">
        <f t="array" ref="B9:H9">Días+DATE(CalYear,2,1)-WEEKDAY(DATE(CalYear,2,1),(InicioDeLaSemana="Lunes")+1)+15</f>
        <v>44970</v>
      </c>
      <c r="C9" s="59">
        <v>44971</v>
      </c>
      <c r="D9" s="59">
        <v>44972</v>
      </c>
      <c r="E9" s="59">
        <v>44973</v>
      </c>
      <c r="F9" s="59">
        <v>44974</v>
      </c>
      <c r="G9" s="59">
        <v>44975</v>
      </c>
      <c r="H9" s="70">
        <v>44976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74">
        <f t="array" ref="B11:H11">Días+DATE(CalYear,2,1)-WEEKDAY(DATE(CalYear,2,1),(InicioDeLaSemana="Lunes")+1)+22</f>
        <v>44977</v>
      </c>
      <c r="C11" s="60">
        <v>44978</v>
      </c>
      <c r="D11" s="60">
        <v>44979</v>
      </c>
      <c r="E11" s="60">
        <v>44980</v>
      </c>
      <c r="F11" s="60">
        <v>44981</v>
      </c>
      <c r="G11" s="60">
        <v>44982</v>
      </c>
      <c r="H11" s="65">
        <v>44983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76">
        <f t="array" ref="B13:H13">Días+DATE(CalYear,2,1)-WEEKDAY(DATE(CalYear,2,1),(InicioDeLaSemana="Lunes")+1)+29</f>
        <v>44984</v>
      </c>
      <c r="C13" s="59">
        <v>44985</v>
      </c>
      <c r="D13" s="21">
        <v>44986</v>
      </c>
      <c r="E13" s="21">
        <v>44987</v>
      </c>
      <c r="F13" s="21">
        <v>44988</v>
      </c>
      <c r="G13" s="21">
        <v>44989</v>
      </c>
      <c r="H13" s="97">
        <v>44990</v>
      </c>
      <c r="I13" s="18"/>
    </row>
    <row r="14" spans="1:9" ht="57.95" customHeight="1" x14ac:dyDescent="0.25">
      <c r="B14" s="77"/>
      <c r="C14" s="6"/>
      <c r="D14" s="6"/>
      <c r="E14" s="6"/>
      <c r="F14" s="6"/>
      <c r="G14" s="7"/>
      <c r="H14" s="71"/>
    </row>
    <row r="15" spans="1:9" ht="19.5" customHeight="1" x14ac:dyDescent="0.25">
      <c r="B15" s="78">
        <f t="array" ref="B15:C15">Días+DATE(CalYear,2,1)-WEEKDAY(DATE(CalYear,2,1),(InicioDeLaSemana="Lunes")+1)+36</f>
        <v>44991</v>
      </c>
      <c r="C15" s="20">
        <v>44992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 t="str">
        <f ca="1">IFERROR(IF(MostrarDíasFestivos,IF(INDEX('Días festivos'!$B$5:$G$14,MATCH(DATE(CalYear,MONTH(B15),DAY(B15)),IF(MostrarFestivosObservados,'Días festivos'!$F$5:$F$14,'Días festivos'!$B$5:$B$14),0),6),INDEX('Días festivos'!$B$5:$G$14,MATCH(DATE(CalYear,MONTH(B15),DAY(B15)),IF(MostrarFestivosObservados,'Días festivos'!$F$5:$F$14,'Días festivos'!$B$5:$B$14),0),2),""),""),"")</f>
        <v/>
      </c>
      <c r="C16" s="2" t="str">
        <f ca="1">IFERROR(IF(MostrarDíasFestivos,IF(INDEX('Días festivos'!$B$5:$G$14,MATCH(DATE(CalYear,MONTH(C15),DAY(C15)),IF(MostrarFestivosObservados,'Días festivos'!$F$5:$F$14,'Días festivos'!$B$5:$B$14),0),6),INDEX('Días festivos'!$B$5:$G$14,MATCH(DATE(CalYear,MONTH(C15),DAY(C15)),IF(MostrarFestivosObservados,'Días festivos'!$F$5:$F$14,'Días festivos'!$B$5:$B$14),0),2),""),""),"")</f>
        <v/>
      </c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45" priority="5">
      <formula>AND(DAY(B13)&gt;=1,DAY(B13)&lt;=15)</formula>
    </cfRule>
  </conditionalFormatting>
  <conditionalFormatting sqref="B5:G5">
    <cfRule type="expression" dxfId="44" priority="4">
      <formula>DAY(B5)&gt;8</formula>
    </cfRule>
  </conditionalFormatting>
  <conditionalFormatting sqref="B6:H6 B8:H8 B10:H10 B12:H12 B14:H14 B16:C16">
    <cfRule type="notContainsBlanks" dxfId="43" priority="3">
      <formula>LEN(TRIM(B6))&gt;0</formula>
    </cfRule>
  </conditionalFormatting>
  <conditionalFormatting sqref="B5:H14 B16:H16 B15:C15">
    <cfRule type="expression" dxfId="42" priority="2">
      <formula>B5=TODAY()</formula>
    </cfRule>
  </conditionalFormatting>
  <conditionalFormatting sqref="D15:H15">
    <cfRule type="expression" dxfId="41" priority="1">
      <formula>D15=TODAY()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C529E-AF79-4791-BAD3-4C0B00A2BB9A}">
  <sheetPr>
    <tabColor rgb="FFFFFF00"/>
    <pageSetUpPr fitToPage="1"/>
  </sheetPr>
  <dimension ref="A1:J17"/>
  <sheetViews>
    <sheetView showRowColHeaders="0" zoomScaleNormal="100" workbookViewId="0">
      <pane ySplit="4" topLeftCell="A5" activePane="bottomLeft" state="frozen"/>
      <selection activeCell="E12" sqref="E12"/>
      <selection pane="bottomLeft" activeCell="D16" sqref="D16:H16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44998</v>
      </c>
      <c r="C2" s="804"/>
      <c r="D2" s="804"/>
      <c r="E2" s="22"/>
      <c r="F2" s="22"/>
      <c r="G2" s="22"/>
      <c r="H2" s="96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94">
        <f t="array" ref="B5:H5">Días+DATE(CalYear,3,1)-WEEKDAY(DATE(CalYear,3,1),(InicioDeLaSemana="Lunes")+1)+1</f>
        <v>44984</v>
      </c>
      <c r="C5" s="21">
        <v>44985</v>
      </c>
      <c r="D5" s="61">
        <v>44986</v>
      </c>
      <c r="E5" s="61">
        <v>44987</v>
      </c>
      <c r="F5" s="61">
        <v>44988</v>
      </c>
      <c r="G5" s="61">
        <v>44989</v>
      </c>
      <c r="H5" s="67">
        <v>44990</v>
      </c>
      <c r="I5" s="18"/>
    </row>
    <row r="6" spans="1:9" ht="57.95" customHeight="1" x14ac:dyDescent="0.25">
      <c r="B6" s="73"/>
      <c r="C6" s="4"/>
      <c r="D6" s="4"/>
      <c r="E6" s="4"/>
      <c r="F6" s="4"/>
      <c r="G6" s="5"/>
      <c r="H6" s="68"/>
    </row>
    <row r="7" spans="1:9" s="19" customFormat="1" ht="19.5" customHeight="1" x14ac:dyDescent="0.25">
      <c r="A7" s="17"/>
      <c r="B7" s="74">
        <f t="array" ref="B7:H7">Días+DATE(CalYear,3,1)-WEEKDAY(DATE(CalYear,3,1),(InicioDeLaSemana="Lunes")+1)+8</f>
        <v>44991</v>
      </c>
      <c r="C7" s="60">
        <v>44992</v>
      </c>
      <c r="D7" s="60">
        <v>44993</v>
      </c>
      <c r="E7" s="60">
        <v>44994</v>
      </c>
      <c r="F7" s="60">
        <v>44995</v>
      </c>
      <c r="G7" s="60">
        <v>44996</v>
      </c>
      <c r="H7" s="65">
        <v>44997</v>
      </c>
      <c r="I7" s="18"/>
    </row>
    <row r="8" spans="1:9" ht="57.95" customHeight="1" x14ac:dyDescent="0.25">
      <c r="B8" s="75"/>
      <c r="C8" s="2"/>
      <c r="D8" s="2"/>
      <c r="E8" s="2"/>
      <c r="F8" s="2"/>
      <c r="G8" s="3"/>
      <c r="H8" s="69"/>
    </row>
    <row r="9" spans="1:9" s="19" customFormat="1" ht="19.5" customHeight="1" x14ac:dyDescent="0.25">
      <c r="A9" s="17"/>
      <c r="B9" s="76">
        <f t="array" ref="B9:H9">Días+DATE(CalYear,3,1)-WEEKDAY(DATE(CalYear,3,1),(InicioDeLaSemana="Lunes")+1)+15</f>
        <v>44998</v>
      </c>
      <c r="C9" s="59">
        <v>44999</v>
      </c>
      <c r="D9" s="59">
        <v>45000</v>
      </c>
      <c r="E9" s="59">
        <v>45001</v>
      </c>
      <c r="F9" s="59">
        <v>45002</v>
      </c>
      <c r="G9" s="59">
        <v>45003</v>
      </c>
      <c r="H9" s="70">
        <v>45004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98">
        <f t="array" ref="B11:H11">Días+DATE(CalYear,3,1)-WEEKDAY(DATE(CalYear,3,1),(InicioDeLaSemana="Lunes")+1)+22</f>
        <v>45005</v>
      </c>
      <c r="C11" s="60">
        <v>45006</v>
      </c>
      <c r="D11" s="60">
        <v>45007</v>
      </c>
      <c r="E11" s="60">
        <v>45008</v>
      </c>
      <c r="F11" s="60">
        <v>45009</v>
      </c>
      <c r="G11" s="60">
        <v>45010</v>
      </c>
      <c r="H11" s="65">
        <v>45011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76">
        <f t="array" ref="B13:H13">Días+DATE(CalYear,3,1)-WEEKDAY(DATE(CalYear,3,1),(InicioDeLaSemana="Lunes")+1)+29</f>
        <v>45012</v>
      </c>
      <c r="C13" s="59">
        <v>45013</v>
      </c>
      <c r="D13" s="59">
        <v>45014</v>
      </c>
      <c r="E13" s="59">
        <v>45015</v>
      </c>
      <c r="F13" s="59">
        <v>45016</v>
      </c>
      <c r="G13" s="21">
        <v>45017</v>
      </c>
      <c r="H13" s="97">
        <v>45018</v>
      </c>
      <c r="I13" s="18"/>
    </row>
    <row r="14" spans="1:9" ht="57.95" customHeight="1" x14ac:dyDescent="0.25">
      <c r="B14" s="77"/>
      <c r="C14" s="6"/>
      <c r="D14" s="6"/>
      <c r="E14" s="6"/>
      <c r="F14" s="6" t="s">
        <v>42</v>
      </c>
      <c r="G14" s="7"/>
      <c r="H14" s="71"/>
    </row>
    <row r="15" spans="1:9" ht="19.5" customHeight="1" x14ac:dyDescent="0.25">
      <c r="B15" s="78">
        <f t="array" ref="B15:C15">Días+DATE(CalYear,3,1)-WEEKDAY(DATE(CalYear,3,1),(InicioDeLaSemana="Lunes")+1)+36</f>
        <v>45019</v>
      </c>
      <c r="C15" s="20">
        <v>45020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40" priority="4">
      <formula>AND(DAY(B13)&gt;=1,DAY(B13)&lt;=15)</formula>
    </cfRule>
  </conditionalFormatting>
  <conditionalFormatting sqref="B5:G5">
    <cfRule type="expression" dxfId="39" priority="3">
      <formula>DAY(B5)&gt;8</formula>
    </cfRule>
  </conditionalFormatting>
  <conditionalFormatting sqref="B6:H6 B8:H8 B10:H10 B12:H12 B14:H14 B16:C16">
    <cfRule type="notContainsBlanks" dxfId="38" priority="2">
      <formula>LEN(TRIM(B6))&gt;0</formula>
    </cfRule>
  </conditionalFormatting>
  <conditionalFormatting sqref="B5:H16">
    <cfRule type="expression" dxfId="37" priority="1">
      <formula>B5=TODAY()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8EDFC-A40E-42F4-87DC-D17312B79A4A}">
  <sheetPr>
    <tabColor rgb="FFFFFF00"/>
    <pageSetUpPr fitToPage="1"/>
  </sheetPr>
  <dimension ref="A1:J17"/>
  <sheetViews>
    <sheetView showGridLines="0" showRowColHeaders="0" zoomScaleNormal="100" workbookViewId="0">
      <pane ySplit="4" topLeftCell="A6" activePane="bottomLeft" state="frozen"/>
      <selection activeCell="E12" sqref="E12"/>
      <selection pane="bottomLeft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4"/>
      <c r="I1" s="62"/>
    </row>
    <row r="2" spans="1:9" ht="30" customHeight="1" thickBot="1" x14ac:dyDescent="0.3">
      <c r="B2" s="803">
        <f>B9</f>
        <v>45026</v>
      </c>
      <c r="C2" s="804"/>
      <c r="D2" s="804"/>
      <c r="E2" s="22"/>
      <c r="F2" s="22"/>
      <c r="G2" s="22"/>
      <c r="H2" s="23"/>
      <c r="I2" s="62"/>
    </row>
    <row r="3" spans="1:9" ht="18" customHeight="1" thickTop="1" x14ac:dyDescent="0.25">
      <c r="B3" s="79"/>
      <c r="C3" s="25"/>
      <c r="D3" s="25"/>
      <c r="E3" s="9"/>
      <c r="F3" s="9"/>
      <c r="G3" s="9"/>
      <c r="H3" s="9"/>
      <c r="I3" s="62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  <c r="I4" s="62"/>
    </row>
    <row r="5" spans="1:9" s="19" customFormat="1" ht="19.5" customHeight="1" thickTop="1" x14ac:dyDescent="0.25">
      <c r="A5" s="17"/>
      <c r="B5" s="72">
        <f t="array" ref="B5:H5">Días+DATE(CalYear,4,1)-WEEKDAY(DATE(CalYear,4,1),(InicioDeLaSemana="Lunes")+1)+1</f>
        <v>45012</v>
      </c>
      <c r="C5" s="66">
        <v>45013</v>
      </c>
      <c r="D5" s="66">
        <v>45014</v>
      </c>
      <c r="E5" s="66">
        <v>45015</v>
      </c>
      <c r="F5" s="66">
        <v>45016</v>
      </c>
      <c r="G5" s="61">
        <v>45017</v>
      </c>
      <c r="H5" s="67">
        <v>45018</v>
      </c>
      <c r="I5" s="63"/>
    </row>
    <row r="6" spans="1:9" ht="57.95" customHeight="1" x14ac:dyDescent="0.25">
      <c r="B6" s="73"/>
      <c r="C6" s="4"/>
      <c r="D6" s="4"/>
      <c r="E6" s="4"/>
      <c r="F6" s="4"/>
      <c r="G6" s="5"/>
      <c r="H6" s="68"/>
      <c r="I6" s="62"/>
    </row>
    <row r="7" spans="1:9" s="19" customFormat="1" ht="19.5" customHeight="1" x14ac:dyDescent="0.25">
      <c r="A7" s="17"/>
      <c r="B7" s="74">
        <f t="array" ref="B7:H7">Días+DATE(CalYear,4,1)-WEEKDAY(DATE(CalYear,4,1),(InicioDeLaSemana="Lunes")+1)+8</f>
        <v>45019</v>
      </c>
      <c r="C7" s="60">
        <v>45020</v>
      </c>
      <c r="D7" s="60">
        <v>45021</v>
      </c>
      <c r="E7" s="64">
        <v>45022</v>
      </c>
      <c r="F7" s="64">
        <v>45023</v>
      </c>
      <c r="G7" s="60">
        <v>45024</v>
      </c>
      <c r="H7" s="65">
        <v>45025</v>
      </c>
      <c r="I7" s="63"/>
    </row>
    <row r="8" spans="1:9" ht="57.95" customHeight="1" x14ac:dyDescent="0.25">
      <c r="B8" s="75"/>
      <c r="C8" s="2"/>
      <c r="D8" s="2"/>
      <c r="E8" s="2"/>
      <c r="F8" s="2"/>
      <c r="G8" s="3"/>
      <c r="H8" s="69"/>
      <c r="I8" s="62"/>
    </row>
    <row r="9" spans="1:9" s="19" customFormat="1" ht="19.5" customHeight="1" x14ac:dyDescent="0.25">
      <c r="A9" s="17"/>
      <c r="B9" s="76">
        <f t="array" ref="B9:H9">Días+DATE(CalYear,4,1)-WEEKDAY(DATE(CalYear,4,1),(InicioDeLaSemana="Lunes")+1)+15</f>
        <v>45026</v>
      </c>
      <c r="C9" s="59">
        <v>45027</v>
      </c>
      <c r="D9" s="59">
        <v>45028</v>
      </c>
      <c r="E9" s="59">
        <v>45029</v>
      </c>
      <c r="F9" s="59">
        <v>45030</v>
      </c>
      <c r="G9" s="59">
        <v>45031</v>
      </c>
      <c r="H9" s="70">
        <v>45032</v>
      </c>
      <c r="I9" s="63"/>
    </row>
    <row r="10" spans="1:9" ht="57.95" customHeight="1" x14ac:dyDescent="0.25">
      <c r="B10" s="77"/>
      <c r="C10" s="6" t="s">
        <v>43</v>
      </c>
      <c r="D10" s="6"/>
      <c r="E10" s="6"/>
      <c r="F10" s="6"/>
      <c r="G10" s="7"/>
      <c r="H10" s="71"/>
      <c r="I10" s="62"/>
    </row>
    <row r="11" spans="1:9" s="19" customFormat="1" ht="19.5" customHeight="1" x14ac:dyDescent="0.25">
      <c r="A11" s="17"/>
      <c r="B11" s="74">
        <f t="array" ref="B11:H11">Días+DATE(CalYear,4,1)-WEEKDAY(DATE(CalYear,4,1),(InicioDeLaSemana="Lunes")+1)+22</f>
        <v>45033</v>
      </c>
      <c r="C11" s="60">
        <v>45034</v>
      </c>
      <c r="D11" s="60">
        <v>45035</v>
      </c>
      <c r="E11" s="60">
        <v>45036</v>
      </c>
      <c r="F11" s="60">
        <v>45037</v>
      </c>
      <c r="G11" s="60">
        <v>45038</v>
      </c>
      <c r="H11" s="65">
        <v>45039</v>
      </c>
      <c r="I11" s="63"/>
    </row>
    <row r="12" spans="1:9" ht="57.95" customHeight="1" x14ac:dyDescent="0.25">
      <c r="B12" s="75"/>
      <c r="C12" s="2"/>
      <c r="D12" s="2"/>
      <c r="E12" s="2"/>
      <c r="F12" s="2"/>
      <c r="G12" s="3"/>
      <c r="H12" s="69"/>
      <c r="I12" s="62"/>
    </row>
    <row r="13" spans="1:9" s="19" customFormat="1" ht="19.5" customHeight="1" x14ac:dyDescent="0.25">
      <c r="A13" s="17"/>
      <c r="B13" s="76">
        <f t="array" ref="B13:H13">Días+DATE(CalYear,4,1)-WEEKDAY(DATE(CalYear,4,1),(InicioDeLaSemana="Lunes")+1)+29</f>
        <v>45040</v>
      </c>
      <c r="C13" s="59">
        <v>45041</v>
      </c>
      <c r="D13" s="59">
        <v>45042</v>
      </c>
      <c r="E13" s="59">
        <v>45043</v>
      </c>
      <c r="F13" s="59">
        <v>45044</v>
      </c>
      <c r="G13" s="59">
        <v>45045</v>
      </c>
      <c r="H13" s="70">
        <v>45046</v>
      </c>
      <c r="I13" s="63"/>
    </row>
    <row r="14" spans="1:9" ht="57.95" customHeight="1" x14ac:dyDescent="0.25">
      <c r="B14" s="99"/>
      <c r="C14" s="100"/>
      <c r="D14" s="100"/>
      <c r="E14" s="100"/>
      <c r="F14" s="100"/>
      <c r="G14" s="101"/>
      <c r="H14" s="102"/>
      <c r="I14" s="62"/>
    </row>
    <row r="15" spans="1:9" ht="19.5" customHeight="1" x14ac:dyDescent="0.25">
      <c r="B15" s="78">
        <f t="array" ref="B15:C15">Días+DATE(CalYear,4,1)-WEEKDAY(DATE(CalYear,4,1),(InicioDeLaSemana="Lunes")+1)+36</f>
        <v>45047</v>
      </c>
      <c r="C15" s="20">
        <v>45048</v>
      </c>
      <c r="D15" s="805" t="s">
        <v>44</v>
      </c>
      <c r="E15" s="805"/>
      <c r="F15" s="805"/>
      <c r="G15" s="805"/>
      <c r="H15" s="806"/>
      <c r="I15" s="62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  <c r="I16" s="62"/>
    </row>
    <row r="17" spans="2:9" x14ac:dyDescent="0.25">
      <c r="B17" s="814"/>
      <c r="C17" s="815"/>
      <c r="D17" s="815"/>
      <c r="E17" s="815"/>
      <c r="F17" s="815"/>
      <c r="G17" s="815"/>
      <c r="H17" s="816"/>
      <c r="I17" s="62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36" priority="4">
      <formula>AND(DAY(B13)&gt;=1,DAY(B13)&lt;=15)</formula>
    </cfRule>
  </conditionalFormatting>
  <conditionalFormatting sqref="B5:G5">
    <cfRule type="expression" dxfId="35" priority="3">
      <formula>DAY(B5)&gt;8</formula>
    </cfRule>
  </conditionalFormatting>
  <conditionalFormatting sqref="B6:H6 B8:H8 B10:H10 B12:H12 B14:H14 B16:C16">
    <cfRule type="notContainsBlanks" dxfId="34" priority="2">
      <formula>LEN(TRIM(B6))&gt;0</formula>
    </cfRule>
  </conditionalFormatting>
  <conditionalFormatting sqref="B5:H16">
    <cfRule type="expression" dxfId="33" priority="1">
      <formula>B5=TODAY()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950F0-29A9-4845-A952-723C1BB3A001}">
  <dimension ref="A1:H84"/>
  <sheetViews>
    <sheetView showGridLines="0" workbookViewId="0">
      <pane ySplit="3" topLeftCell="A28" activePane="bottomLeft" state="frozen"/>
      <selection pane="bottomLeft" activeCell="G43" sqref="G43"/>
    </sheetView>
  </sheetViews>
  <sheetFormatPr baseColWidth="10" defaultColWidth="0" defaultRowHeight="18.75" zeroHeight="1" x14ac:dyDescent="0.3"/>
  <cols>
    <col min="1" max="1" width="0.85546875" customWidth="1"/>
    <col min="2" max="2" width="5.42578125" style="527" customWidth="1"/>
    <col min="3" max="3" width="1.42578125" style="10" customWidth="1"/>
    <col min="4" max="4" width="3.85546875" style="202" customWidth="1"/>
    <col min="5" max="5" width="61.140625" bestFit="1" customWidth="1"/>
    <col min="6" max="6" width="5.42578125" style="186" customWidth="1"/>
    <col min="7" max="7" width="96.5703125" customWidth="1"/>
    <col min="8" max="8" width="0.7109375" customWidth="1"/>
    <col min="9" max="16384" width="11.42578125" hidden="1"/>
  </cols>
  <sheetData>
    <row r="1" spans="4:7" ht="91.5" customHeight="1" x14ac:dyDescent="0.3"/>
    <row r="2" spans="4:7" ht="33" customHeight="1" x14ac:dyDescent="0.55000000000000004">
      <c r="D2" s="477" t="s">
        <v>68</v>
      </c>
      <c r="E2" s="476"/>
    </row>
    <row r="3" spans="4:7" ht="26.25" customHeight="1" x14ac:dyDescent="0.55000000000000004">
      <c r="D3" s="477"/>
      <c r="E3" s="476"/>
    </row>
    <row r="4" spans="4:7" ht="18.75" customHeight="1" x14ac:dyDescent="0.3">
      <c r="G4" s="529" t="s">
        <v>680</v>
      </c>
    </row>
    <row r="5" spans="4:7" ht="6" customHeight="1" thickBot="1" x14ac:dyDescent="0.35"/>
    <row r="6" spans="4:7" ht="15.75" thickBot="1" x14ac:dyDescent="0.3">
      <c r="D6" s="547" t="s">
        <v>155</v>
      </c>
      <c r="E6" s="548" t="s">
        <v>101</v>
      </c>
      <c r="F6" s="186" t="s">
        <v>70</v>
      </c>
      <c r="G6" s="204" t="s">
        <v>69</v>
      </c>
    </row>
    <row r="7" spans="4:7" ht="15.75" thickBot="1" x14ac:dyDescent="0.3">
      <c r="D7" s="547"/>
      <c r="E7" s="548"/>
      <c r="F7" s="186" t="s">
        <v>98</v>
      </c>
      <c r="G7" s="204" t="s">
        <v>71</v>
      </c>
    </row>
    <row r="8" spans="4:7" ht="15.75" thickBot="1" x14ac:dyDescent="0.3">
      <c r="D8" s="547"/>
      <c r="E8" s="548"/>
      <c r="F8" s="186" t="s">
        <v>99</v>
      </c>
      <c r="G8" s="204" t="s">
        <v>100</v>
      </c>
    </row>
    <row r="9" spans="4:7" ht="19.5" thickBot="1" x14ac:dyDescent="0.35">
      <c r="E9" s="203"/>
      <c r="G9" s="201"/>
    </row>
    <row r="10" spans="4:7" ht="15.75" thickBot="1" x14ac:dyDescent="0.3">
      <c r="D10" s="547" t="s">
        <v>156</v>
      </c>
      <c r="E10" s="548" t="s">
        <v>189</v>
      </c>
      <c r="F10" s="186" t="s">
        <v>157</v>
      </c>
      <c r="G10" s="204" t="s">
        <v>161</v>
      </c>
    </row>
    <row r="11" spans="4:7" ht="15.75" thickBot="1" x14ac:dyDescent="0.3">
      <c r="D11" s="547"/>
      <c r="E11" s="548"/>
      <c r="F11" s="186" t="s">
        <v>158</v>
      </c>
      <c r="G11" s="204" t="s">
        <v>708</v>
      </c>
    </row>
    <row r="12" spans="4:7" ht="15.75" thickBot="1" x14ac:dyDescent="0.3">
      <c r="D12" s="547"/>
      <c r="E12" s="548"/>
      <c r="F12" s="186" t="s">
        <v>159</v>
      </c>
      <c r="G12" s="204" t="s">
        <v>160</v>
      </c>
    </row>
    <row r="13" spans="4:7" ht="19.5" thickBot="1" x14ac:dyDescent="0.35">
      <c r="E13" s="203"/>
      <c r="G13" s="201"/>
    </row>
    <row r="14" spans="4:7" ht="15.75" thickBot="1" x14ac:dyDescent="0.3">
      <c r="D14" s="547" t="s">
        <v>182</v>
      </c>
      <c r="E14" s="548" t="s">
        <v>188</v>
      </c>
      <c r="F14" s="186" t="s">
        <v>185</v>
      </c>
      <c r="G14" s="204" t="s">
        <v>69</v>
      </c>
    </row>
    <row r="15" spans="4:7" ht="15.75" thickBot="1" x14ac:dyDescent="0.3">
      <c r="D15" s="547"/>
      <c r="E15" s="548"/>
      <c r="F15" s="186" t="s">
        <v>186</v>
      </c>
      <c r="G15" s="204" t="s">
        <v>71</v>
      </c>
    </row>
    <row r="16" spans="4:7" ht="15.75" thickBot="1" x14ac:dyDescent="0.3">
      <c r="D16" s="547"/>
      <c r="E16" s="548"/>
      <c r="F16" s="186" t="s">
        <v>739</v>
      </c>
      <c r="G16" s="204" t="s">
        <v>740</v>
      </c>
    </row>
    <row r="17" spans="4:7" ht="15.75" thickBot="1" x14ac:dyDescent="0.3">
      <c r="D17" s="547"/>
      <c r="E17" s="548"/>
      <c r="F17" s="186" t="s">
        <v>187</v>
      </c>
      <c r="G17" s="204" t="s">
        <v>100</v>
      </c>
    </row>
    <row r="18" spans="4:7" ht="19.5" thickBot="1" x14ac:dyDescent="0.35">
      <c r="E18" s="203"/>
      <c r="G18" s="201"/>
    </row>
    <row r="19" spans="4:7" ht="15.75" thickBot="1" x14ac:dyDescent="0.3">
      <c r="D19" s="547" t="s">
        <v>190</v>
      </c>
      <c r="E19" s="548" t="s">
        <v>693</v>
      </c>
      <c r="F19" s="186" t="s">
        <v>191</v>
      </c>
      <c r="G19" s="204" t="s">
        <v>692</v>
      </c>
    </row>
    <row r="20" spans="4:7" ht="15.75" thickBot="1" x14ac:dyDescent="0.3">
      <c r="D20" s="547"/>
      <c r="E20" s="548"/>
      <c r="F20" s="186" t="s">
        <v>192</v>
      </c>
      <c r="G20" s="204" t="s">
        <v>193</v>
      </c>
    </row>
    <row r="21" spans="4:7" ht="15.75" thickBot="1" x14ac:dyDescent="0.3">
      <c r="D21" s="547"/>
      <c r="E21" s="548"/>
      <c r="F21" s="186" t="s">
        <v>252</v>
      </c>
      <c r="G21" s="204" t="s">
        <v>694</v>
      </c>
    </row>
    <row r="22" spans="4:7" ht="15.75" thickBot="1" x14ac:dyDescent="0.3">
      <c r="D22" s="547"/>
      <c r="E22" s="548"/>
      <c r="F22" s="186" t="s">
        <v>253</v>
      </c>
      <c r="G22" s="204" t="s">
        <v>735</v>
      </c>
    </row>
    <row r="23" spans="4:7" ht="19.5" thickBot="1" x14ac:dyDescent="0.35">
      <c r="E23" s="203"/>
      <c r="G23" s="201"/>
    </row>
    <row r="24" spans="4:7" ht="15.75" thickBot="1" x14ac:dyDescent="0.3">
      <c r="D24" s="547" t="s">
        <v>247</v>
      </c>
      <c r="E24" s="548" t="s">
        <v>249</v>
      </c>
      <c r="F24" s="186" t="s">
        <v>254</v>
      </c>
      <c r="G24" s="204" t="s">
        <v>250</v>
      </c>
    </row>
    <row r="25" spans="4:7" ht="15.75" thickBot="1" x14ac:dyDescent="0.3">
      <c r="D25" s="547"/>
      <c r="E25" s="548"/>
      <c r="F25" s="186" t="s">
        <v>255</v>
      </c>
      <c r="G25" s="204" t="s">
        <v>709</v>
      </c>
    </row>
    <row r="26" spans="4:7" ht="15.75" thickBot="1" x14ac:dyDescent="0.3">
      <c r="D26" s="547"/>
      <c r="E26" s="548"/>
      <c r="F26" s="186" t="s">
        <v>734</v>
      </c>
      <c r="G26" s="204" t="s">
        <v>733</v>
      </c>
    </row>
    <row r="27" spans="4:7" ht="19.5" thickBot="1" x14ac:dyDescent="0.35">
      <c r="E27" s="203"/>
      <c r="G27" s="201"/>
    </row>
    <row r="28" spans="4:7" ht="19.5" thickBot="1" x14ac:dyDescent="0.35">
      <c r="D28" s="535" t="s">
        <v>248</v>
      </c>
      <c r="E28" s="536" t="s">
        <v>251</v>
      </c>
      <c r="F28" s="186" t="s">
        <v>256</v>
      </c>
      <c r="G28" s="204" t="s">
        <v>272</v>
      </c>
    </row>
    <row r="29" spans="4:7" ht="19.5" thickBot="1" x14ac:dyDescent="0.35">
      <c r="E29" s="203"/>
      <c r="G29" s="201"/>
    </row>
    <row r="30" spans="4:7" ht="18.75" customHeight="1" thickBot="1" x14ac:dyDescent="0.3">
      <c r="D30" s="547" t="s">
        <v>257</v>
      </c>
      <c r="E30" s="548" t="s">
        <v>258</v>
      </c>
      <c r="F30" s="186" t="s">
        <v>259</v>
      </c>
      <c r="G30" s="204" t="s">
        <v>260</v>
      </c>
    </row>
    <row r="31" spans="4:7" ht="18.75" customHeight="1" thickBot="1" x14ac:dyDescent="0.3">
      <c r="D31" s="547"/>
      <c r="E31" s="548"/>
      <c r="F31" s="186" t="s">
        <v>393</v>
      </c>
      <c r="G31" s="204" t="s">
        <v>394</v>
      </c>
    </row>
    <row r="32" spans="4:7" ht="19.5" thickBot="1" x14ac:dyDescent="0.35">
      <c r="E32" s="203"/>
      <c r="G32" s="201"/>
    </row>
    <row r="33" spans="4:7" ht="19.5" thickBot="1" x14ac:dyDescent="0.35">
      <c r="D33" s="535" t="s">
        <v>261</v>
      </c>
      <c r="E33" s="536" t="s">
        <v>262</v>
      </c>
      <c r="F33" s="186" t="s">
        <v>263</v>
      </c>
      <c r="G33" s="204" t="s">
        <v>264</v>
      </c>
    </row>
    <row r="34" spans="4:7" ht="19.5" thickBot="1" x14ac:dyDescent="0.35">
      <c r="E34" s="203"/>
      <c r="G34" s="201"/>
    </row>
    <row r="35" spans="4:7" ht="19.5" thickBot="1" x14ac:dyDescent="0.35">
      <c r="D35" s="535" t="s">
        <v>266</v>
      </c>
      <c r="E35" s="536" t="s">
        <v>267</v>
      </c>
      <c r="F35" s="186" t="s">
        <v>265</v>
      </c>
      <c r="G35" s="204" t="s">
        <v>686</v>
      </c>
    </row>
    <row r="36" spans="4:7" ht="19.5" thickBot="1" x14ac:dyDescent="0.35">
      <c r="E36" s="203"/>
      <c r="G36" s="201"/>
    </row>
    <row r="37" spans="4:7" ht="19.5" thickBot="1" x14ac:dyDescent="0.35">
      <c r="D37" s="535" t="s">
        <v>268</v>
      </c>
      <c r="E37" s="536" t="s">
        <v>269</v>
      </c>
      <c r="F37" s="186" t="s">
        <v>270</v>
      </c>
      <c r="G37" s="204" t="s">
        <v>271</v>
      </c>
    </row>
    <row r="38" spans="4:7" ht="19.5" thickBot="1" x14ac:dyDescent="0.35">
      <c r="G38" s="201"/>
    </row>
    <row r="39" spans="4:7" ht="19.5" thickBot="1" x14ac:dyDescent="0.35">
      <c r="D39" s="535" t="s">
        <v>291</v>
      </c>
      <c r="E39" s="536" t="s">
        <v>679</v>
      </c>
      <c r="F39" s="186" t="s">
        <v>273</v>
      </c>
      <c r="G39" s="162" t="s">
        <v>274</v>
      </c>
    </row>
    <row r="40" spans="4:7" ht="19.5" thickBot="1" x14ac:dyDescent="0.35"/>
    <row r="41" spans="4:7" ht="19.5" thickBot="1" x14ac:dyDescent="0.35">
      <c r="D41" s="535" t="s">
        <v>293</v>
      </c>
      <c r="E41" s="536" t="s">
        <v>294</v>
      </c>
      <c r="F41" s="186" t="s">
        <v>292</v>
      </c>
      <c r="G41" s="162" t="s">
        <v>710</v>
      </c>
    </row>
    <row r="42" spans="4:7" ht="19.5" thickBot="1" x14ac:dyDescent="0.35"/>
    <row r="43" spans="4:7" ht="18.75" customHeight="1" thickBot="1" x14ac:dyDescent="0.3">
      <c r="D43" s="547" t="s">
        <v>493</v>
      </c>
      <c r="E43" s="548" t="s">
        <v>502</v>
      </c>
      <c r="F43" s="186" t="s">
        <v>494</v>
      </c>
      <c r="G43" s="162" t="s">
        <v>498</v>
      </c>
    </row>
    <row r="44" spans="4:7" ht="18.75" customHeight="1" thickBot="1" x14ac:dyDescent="0.3">
      <c r="D44" s="547"/>
      <c r="E44" s="548"/>
      <c r="F44" s="186" t="s">
        <v>495</v>
      </c>
      <c r="G44" s="162" t="s">
        <v>736</v>
      </c>
    </row>
    <row r="45" spans="4:7" ht="18.75" customHeight="1" thickBot="1" x14ac:dyDescent="0.3">
      <c r="D45" s="547"/>
      <c r="E45" s="548"/>
      <c r="F45" s="186" t="s">
        <v>496</v>
      </c>
      <c r="G45" s="162" t="s">
        <v>499</v>
      </c>
    </row>
    <row r="46" spans="4:7" ht="18.75" customHeight="1" thickBot="1" x14ac:dyDescent="0.3">
      <c r="D46" s="547"/>
      <c r="E46" s="548"/>
      <c r="F46" s="186" t="s">
        <v>497</v>
      </c>
      <c r="G46" s="162" t="s">
        <v>711</v>
      </c>
    </row>
    <row r="47" spans="4:7" ht="18.75" customHeight="1" thickBot="1" x14ac:dyDescent="0.3">
      <c r="D47" s="547"/>
      <c r="E47" s="548"/>
      <c r="F47" s="186" t="s">
        <v>497</v>
      </c>
      <c r="G47" s="162" t="s">
        <v>500</v>
      </c>
    </row>
    <row r="48" spans="4:7" ht="19.5" thickBot="1" x14ac:dyDescent="0.35"/>
    <row r="49" spans="4:7" ht="18.75" customHeight="1" thickBot="1" x14ac:dyDescent="0.3">
      <c r="D49" s="547" t="s">
        <v>501</v>
      </c>
      <c r="E49" s="548" t="s">
        <v>503</v>
      </c>
      <c r="F49" s="186" t="s">
        <v>504</v>
      </c>
      <c r="G49" s="331" t="s">
        <v>541</v>
      </c>
    </row>
    <row r="50" spans="4:7" ht="18.75" customHeight="1" thickBot="1" x14ac:dyDescent="0.3">
      <c r="D50" s="547"/>
      <c r="E50" s="548"/>
      <c r="F50" s="186" t="s">
        <v>505</v>
      </c>
      <c r="G50" s="331" t="s">
        <v>544</v>
      </c>
    </row>
    <row r="51" spans="4:7" ht="18.75" customHeight="1" thickBot="1" x14ac:dyDescent="0.3">
      <c r="D51" s="547"/>
      <c r="E51" s="548"/>
      <c r="F51" s="186" t="s">
        <v>506</v>
      </c>
      <c r="G51" s="331" t="s">
        <v>542</v>
      </c>
    </row>
    <row r="52" spans="4:7" ht="18.75" customHeight="1" thickBot="1" x14ac:dyDescent="0.3">
      <c r="D52" s="547"/>
      <c r="E52" s="548"/>
      <c r="F52" s="186" t="s">
        <v>507</v>
      </c>
      <c r="G52" s="331" t="s">
        <v>543</v>
      </c>
    </row>
    <row r="53" spans="4:7" ht="19.5" thickBot="1" x14ac:dyDescent="0.35"/>
    <row r="54" spans="4:7" ht="18.75" customHeight="1" thickBot="1" x14ac:dyDescent="0.3">
      <c r="D54" s="547" t="s">
        <v>508</v>
      </c>
      <c r="E54" s="548" t="s">
        <v>509</v>
      </c>
      <c r="F54" s="186" t="s">
        <v>511</v>
      </c>
      <c r="G54" s="331" t="s">
        <v>614</v>
      </c>
    </row>
    <row r="55" spans="4:7" ht="18.75" customHeight="1" thickBot="1" x14ac:dyDescent="0.3">
      <c r="D55" s="547"/>
      <c r="E55" s="548"/>
      <c r="F55" s="186" t="s">
        <v>512</v>
      </c>
      <c r="G55" s="331" t="s">
        <v>615</v>
      </c>
    </row>
    <row r="56" spans="4:7" ht="18.75" customHeight="1" thickBot="1" x14ac:dyDescent="0.3">
      <c r="D56" s="547"/>
      <c r="E56" s="548"/>
      <c r="F56" s="186" t="s">
        <v>513</v>
      </c>
      <c r="G56" s="331" t="s">
        <v>616</v>
      </c>
    </row>
    <row r="57" spans="4:7" ht="18.75" customHeight="1" thickBot="1" x14ac:dyDescent="0.3">
      <c r="D57" s="547"/>
      <c r="E57" s="548"/>
      <c r="F57" s="186" t="s">
        <v>514</v>
      </c>
      <c r="G57" s="331" t="s">
        <v>712</v>
      </c>
    </row>
    <row r="58" spans="4:7" ht="19.5" thickBot="1" x14ac:dyDescent="0.35"/>
    <row r="59" spans="4:7" ht="18.75" customHeight="1" thickBot="1" x14ac:dyDescent="0.3">
      <c r="D59" s="547" t="s">
        <v>515</v>
      </c>
      <c r="E59" s="548" t="s">
        <v>510</v>
      </c>
      <c r="F59" s="186" t="s">
        <v>516</v>
      </c>
      <c r="G59" s="331" t="s">
        <v>617</v>
      </c>
    </row>
    <row r="60" spans="4:7" ht="18.75" customHeight="1" thickBot="1" x14ac:dyDescent="0.3">
      <c r="D60" s="547"/>
      <c r="E60" s="548"/>
      <c r="F60" s="186" t="s">
        <v>517</v>
      </c>
      <c r="G60" s="331" t="s">
        <v>705</v>
      </c>
    </row>
    <row r="61" spans="4:7" ht="18.75" customHeight="1" thickBot="1" x14ac:dyDescent="0.3">
      <c r="D61" s="547"/>
      <c r="E61" s="548"/>
      <c r="F61" s="186" t="s">
        <v>518</v>
      </c>
      <c r="G61" s="331" t="s">
        <v>706</v>
      </c>
    </row>
    <row r="62" spans="4:7" ht="18.75" customHeight="1" thickBot="1" x14ac:dyDescent="0.3">
      <c r="D62" s="547"/>
      <c r="E62" s="548"/>
      <c r="F62" s="186" t="s">
        <v>519</v>
      </c>
      <c r="G62" s="331" t="s">
        <v>707</v>
      </c>
    </row>
    <row r="63" spans="4:7" ht="18.75" customHeight="1" thickBot="1" x14ac:dyDescent="0.3">
      <c r="D63" s="821"/>
      <c r="E63" s="822"/>
      <c r="G63" s="331"/>
    </row>
    <row r="64" spans="4:7" ht="18.75" customHeight="1" thickBot="1" x14ac:dyDescent="0.35">
      <c r="D64" s="535" t="s">
        <v>520</v>
      </c>
      <c r="E64" s="536" t="s">
        <v>741</v>
      </c>
      <c r="F64" s="186" t="s">
        <v>273</v>
      </c>
      <c r="G64" s="162" t="s">
        <v>755</v>
      </c>
    </row>
    <row r="65" spans="4:7" ht="18.75" customHeight="1" x14ac:dyDescent="0.25">
      <c r="D65" s="821"/>
      <c r="E65" s="822"/>
      <c r="G65" s="331"/>
    </row>
    <row r="66" spans="4:7" ht="18.75" customHeight="1" x14ac:dyDescent="0.25">
      <c r="D66" s="826" t="s">
        <v>688</v>
      </c>
      <c r="E66" s="827" t="s">
        <v>753</v>
      </c>
      <c r="F66" s="186" t="s">
        <v>690</v>
      </c>
      <c r="G66" s="331" t="s">
        <v>756</v>
      </c>
    </row>
    <row r="67" spans="4:7" ht="18.75" customHeight="1" x14ac:dyDescent="0.25">
      <c r="D67" s="826"/>
      <c r="E67" s="827"/>
      <c r="F67" s="186" t="s">
        <v>754</v>
      </c>
      <c r="G67" s="331" t="s">
        <v>757</v>
      </c>
    </row>
    <row r="68" spans="4:7" ht="18.75" customHeight="1" x14ac:dyDescent="0.25">
      <c r="D68" s="821"/>
      <c r="E68" s="822"/>
      <c r="G68" s="331"/>
    </row>
    <row r="69" spans="4:7" ht="18.75" customHeight="1" x14ac:dyDescent="0.25">
      <c r="D69" s="819" t="s">
        <v>758</v>
      </c>
      <c r="E69" s="820" t="s">
        <v>759</v>
      </c>
      <c r="F69" s="186" t="s">
        <v>760</v>
      </c>
      <c r="G69" s="331" t="s">
        <v>761</v>
      </c>
    </row>
    <row r="70" spans="4:7" ht="18.75" customHeight="1" x14ac:dyDescent="0.25">
      <c r="D70" s="821"/>
      <c r="E70" s="822"/>
      <c r="G70" s="331"/>
    </row>
    <row r="71" spans="4:7" ht="18.75" customHeight="1" x14ac:dyDescent="0.25">
      <c r="D71" s="826" t="s">
        <v>762</v>
      </c>
      <c r="E71" s="828" t="s">
        <v>763</v>
      </c>
      <c r="F71" s="829" t="s">
        <v>764</v>
      </c>
      <c r="G71" s="830" t="s">
        <v>765</v>
      </c>
    </row>
    <row r="72" spans="4:7" ht="18.75" customHeight="1" x14ac:dyDescent="0.25">
      <c r="D72" s="826"/>
      <c r="E72" s="828"/>
      <c r="F72" s="829"/>
      <c r="G72" s="830"/>
    </row>
    <row r="73" spans="4:7" ht="19.5" thickBot="1" x14ac:dyDescent="0.35"/>
    <row r="74" spans="4:7" ht="19.5" thickBot="1" x14ac:dyDescent="0.35">
      <c r="D74" s="535" t="s">
        <v>772</v>
      </c>
      <c r="E74" s="536" t="s">
        <v>677</v>
      </c>
      <c r="F74" s="186" t="s">
        <v>521</v>
      </c>
      <c r="G74" s="162" t="s">
        <v>677</v>
      </c>
    </row>
    <row r="75" spans="4:7" ht="14.25" customHeight="1" thickBot="1" x14ac:dyDescent="0.35"/>
    <row r="76" spans="4:7" ht="20.25" thickTop="1" thickBot="1" x14ac:dyDescent="0.35">
      <c r="D76" s="535" t="s">
        <v>773</v>
      </c>
      <c r="E76" s="536" t="s">
        <v>689</v>
      </c>
      <c r="F76" s="186" t="s">
        <v>690</v>
      </c>
      <c r="G76" s="537" t="s">
        <v>691</v>
      </c>
    </row>
    <row r="77" spans="4:7" x14ac:dyDescent="0.3"/>
    <row r="78" spans="4:7" x14ac:dyDescent="0.3"/>
    <row r="79" spans="4:7" x14ac:dyDescent="0.3"/>
    <row r="80" spans="4:7" x14ac:dyDescent="0.3"/>
    <row r="81" spans="2:7" ht="6" customHeight="1" thickBot="1" x14ac:dyDescent="0.35"/>
    <row r="82" spans="2:7" ht="3" customHeight="1" thickTop="1" thickBot="1" x14ac:dyDescent="0.35">
      <c r="B82" s="538"/>
      <c r="C82" s="539"/>
      <c r="D82" s="540"/>
      <c r="E82" s="541"/>
      <c r="F82" s="542"/>
      <c r="G82" s="541"/>
    </row>
    <row r="83" spans="2:7" ht="19.5" hidden="1" thickTop="1" x14ac:dyDescent="0.3"/>
    <row r="84" spans="2:7" ht="0.75" customHeight="1" thickTop="1" x14ac:dyDescent="0.3"/>
  </sheetData>
  <sheetProtection algorithmName="SHA-512" hashValue="V369pTjxqdf4QXKSnhmOotTQduJxhJImQ7EfU0fOXbGUsdDqIBtsIAUGyoEcCSII27A1w49M6Hra1ug7xCNFAg==" saltValue="94VRFkkV1RHf8j+U9mwGjA==" spinCount="100000" sheet="1" objects="1" scenarios="1"/>
  <protectedRanges>
    <protectedRange algorithmName="SHA-512" hashValue="ZHpSuUG5hCOP73nQ+R47S/CNhakgbzRqo9h+NGxkDkxPpsczkFcXTgyKvGLggcafndIwuO1mJHCSf5wZZM38MQ==" saltValue="UfCqgwO3j87EXx4G5htZBg==" spinCount="100000" sqref="D4:G82" name="Contenido"/>
  </protectedRanges>
  <mergeCells count="26">
    <mergeCell ref="G71:G72"/>
    <mergeCell ref="D66:D67"/>
    <mergeCell ref="E66:E67"/>
    <mergeCell ref="D71:D72"/>
    <mergeCell ref="E71:E72"/>
    <mergeCell ref="F71:F72"/>
    <mergeCell ref="D54:D57"/>
    <mergeCell ref="E54:E57"/>
    <mergeCell ref="D59:D62"/>
    <mergeCell ref="E59:E62"/>
    <mergeCell ref="D30:D31"/>
    <mergeCell ref="E30:E31"/>
    <mergeCell ref="D43:D47"/>
    <mergeCell ref="E43:E47"/>
    <mergeCell ref="E49:E52"/>
    <mergeCell ref="D49:D52"/>
    <mergeCell ref="D19:D22"/>
    <mergeCell ref="E19:E22"/>
    <mergeCell ref="E24:E26"/>
    <mergeCell ref="D24:D26"/>
    <mergeCell ref="D6:D8"/>
    <mergeCell ref="E6:E8"/>
    <mergeCell ref="D10:D12"/>
    <mergeCell ref="E10:E12"/>
    <mergeCell ref="D14:D17"/>
    <mergeCell ref="E14:E17"/>
  </mergeCells>
  <hyperlinks>
    <hyperlink ref="G6" location="GrandeContribuyentes!A1" display="Grandes Contribuyentes" xr:uid="{5DA56FF6-AC90-4FBB-B81A-7606B69292F8}"/>
    <hyperlink ref="G8" location="PersonasNaturales!A1" display="Personas Naturales" xr:uid="{1A7D8F42-EB4E-4950-967A-A38715DE9D4F}"/>
    <hyperlink ref="G10" location="'RST-DeclaUnificada'!A1" display="Impuesto Unificado del RST - SIMPLE" xr:uid="{0B18055D-4631-4F7F-B33B-607B4C3032C5}"/>
    <hyperlink ref="G11" location="'RST-IVACosolidada'!A1" display="Declaración Anual  Consolidad del IVA" xr:uid="{B45DD19E-4324-40CF-A326-49B071495542}"/>
    <hyperlink ref="G12" location="'RST-Anticipo'!A1" display="Anticipo bimestral del SIMPLE" xr:uid="{6B55FBE7-91B2-4F8E-AD94-C2D20E9D2492}"/>
    <hyperlink ref="G14" location="GrandeContribuyentes!A1" display="Grandes Contribuyentes" xr:uid="{BFE36D5A-4C42-4425-8744-CF01304B8BA9}"/>
    <hyperlink ref="G15" location="PersonasJurídicas!A1" display="Personas Jurídicas y demás contribuyentes diferentes a grandes contribuyentes" xr:uid="{206DD0AD-7EF6-4091-98E2-10C6EC6B8FF2}"/>
    <hyperlink ref="G17" location="PersonasNaturales!A1" display="Personas Naturales" xr:uid="{A85B47BC-B505-4FF1-88F7-E9251FAEC662}"/>
    <hyperlink ref="G19" location="PT_Declara_Docum!A1" display="Declaración infromativa de precios de transferencia" xr:uid="{A0D06EBA-DDFC-415E-B700-8E66CD156ED0}"/>
    <hyperlink ref="G20" location="PT_Declara_Docum!A1" display="Presentación de la documentación comprobatoria" xr:uid="{CDAA3B0C-041D-4BC5-B978-0AE4F7118C9F}"/>
    <hyperlink ref="G21" location="PT_InformeMestro!A1" display="Informe maestro de precios de tranferencia" xr:uid="{BCC8CAC7-1A5E-4EE2-B922-DBEF97A0A9D9}"/>
    <hyperlink ref="G22" location="PT_PaísporPaís!A1" display="Informe país por país de precios de de transferencia" xr:uid="{AD6BBB8C-50E8-4832-B975-28316AD593CB}"/>
    <hyperlink ref="G24" location="IVA_Bimestral!A1" display=" Declaración de IVA bimestral" xr:uid="{66D89DEA-DC99-4512-ABF6-5502310C2713}"/>
    <hyperlink ref="G26" location="IVA_Serv_Exterior!A1" display="Declaración de IVA bimestral - Servicios desde el exterior" xr:uid="{9EC55AEE-BF18-40FA-91A9-275FCB8F663E}"/>
    <hyperlink ref="G28" location="IMPOconsumo!A1" display="Declaración impoconsumo bimestral" xr:uid="{6880826C-40E3-42BA-8D5A-0A84C0394264}"/>
    <hyperlink ref="G30" location="RETEfuente!A1" display="Declaración mensual de retención en la fuente" xr:uid="{1F4807E1-A912-415D-883D-B410ED063502}"/>
    <hyperlink ref="G33" location="Gasol_ACPM!A1" display="Declaración mensual al impuesto nacional a la gasolina y ACPM" xr:uid="{F9999CB0-6EC5-44A9-B051-20E9BA9AD7E6}"/>
    <hyperlink ref="G35" location="IMPOcarbono!A1" display="Declración bimestral del impuesto nacional al carbono" xr:uid="{8D0462EC-8BB8-40A9-9FFD-4EB63859EB9B}"/>
    <hyperlink ref="G37" location="GMF!A1" display="Declaración semanal al GMF" xr:uid="{EA4F7DD9-AA6A-4A4B-BE9C-D7EAF935A59E}"/>
    <hyperlink ref="G39" location="Certificados!A1" display="Certificados de retención en la fuente" xr:uid="{1FA92E02-2715-4B54-8A93-29D8A459266B}"/>
    <hyperlink ref="G41" location="ExogenaDIAN!A1" display="Información exogena para grandes contribuyes y perspnas jurídicas y naturales" xr:uid="{4B092968-CAFF-410C-B680-BA11E072F738}"/>
    <hyperlink ref="G31" location="TablaRetefuente!A1" display="Tabla de retención en la fuente" xr:uid="{96C17F19-D940-4FBA-9AC9-7335345F9129}"/>
    <hyperlink ref="G43" location="ICA_Cali!B7" display="Impuesto bimestral de Industria y Comercio (ICA), Año 2023" xr:uid="{94F07AB0-00FA-4CA1-89C6-BDD54BC5BB01}"/>
    <hyperlink ref="G44" location="ICA_Cali!B7" display="Retenciones y Autoretencions de Industria y Comercio, año 2023" xr:uid="{F2D82BBF-5F4B-49B4-AD88-6C10CAA411F0}"/>
    <hyperlink ref="G45" location="ICA_Cali!B36" display="Declaración anual de Industria y Comercio, ingresos &gt;=131.952 UVT (Año 2022)" xr:uid="{A106425B-E9DF-46FB-8A75-A8DECE68B08B}"/>
    <hyperlink ref="G46" location="ICA_Cali!B41" display="Declaración anual de Industria y Comercio, ingresos &gt;131.952 UVT&lt;=131.952 UVT (Año 2022)" xr:uid="{D47E178A-76B7-418D-8423-CE8FC330B442}"/>
    <hyperlink ref="G47" location="ICA_Cali!B46" display="Declaración anual de Industria y Comercio, ingresos  &lt;32.998 UVT (Año 2022)" xr:uid="{BC194E8D-27C7-4EF4-83C6-64F6C6700F65}"/>
    <hyperlink ref="G49" location="ICA_Bogotá!E14" display="Retención en la fuenta de ICA bimestral - 2023" xr:uid="{39D17B4D-643A-4D74-9400-4D41A7268973}"/>
    <hyperlink ref="G50" location="ICA_Bogotá!E29" display="Impuestos bimestral de ICA 2023" xr:uid="{47E5F5CB-C7E7-4CF3-8487-EB2FD5E5ED8E}"/>
    <hyperlink ref="G51" location="ICA_Bogotá!E52" display="Impuesto de ICA 2023 - Régimen preferente" xr:uid="{A72A5939-312C-4BA1-80E6-6326AC9A396E}"/>
    <hyperlink ref="G52" location="ICA_Bogotá!E48" display="Declaración anual de ICA - 2022" xr:uid="{D1AB6905-C34F-41A8-9D6C-863C0B3043E7}"/>
    <hyperlink ref="G54" location="ICA_Medellín!E20" display="Declaración anual de ICA, 2022" xr:uid="{4FE10FC9-E177-4C65-9B46-638BDADA604A}"/>
    <hyperlink ref="G55" location="ICA_Medellín!E26" display="Plazo para pagar ICA, 2022" xr:uid="{44FA5F63-2B7A-4ADD-82E2-B20983EC85B6}"/>
    <hyperlink ref="G56" location="ICA_Medellín!E33" display="Plazo para del régimen simplificado, 2022" xr:uid="{C72C0FAC-314F-471A-B270-052265D5C76B}"/>
    <hyperlink ref="G57" location="ICA_Medellín!E43" display="Declaración y pago de las declraciones de retenciones, año 2023" xr:uid="{62F03181-95B4-4598-A1EA-FD8C0B4175D2}"/>
    <hyperlink ref="G59" location="ICA_Barranquilla!E19" display="Declaración anual  ICA, 2022" xr:uid="{2DA872E8-3E37-4765-A3E8-EA768ABAB928}"/>
    <hyperlink ref="G60" location="ICA_Barranquilla!E25" display="Declaración y pago declaciones mensuales de retenciones: Grandes contribuyentes, 2023" xr:uid="{FFBAF410-9544-42B9-A21E-EFDE763B3982}"/>
    <hyperlink ref="G61" location="ICA_Barranquilla!E53" display="Declaración y pago declaciones bimestrales de retenciones: Régimen común, 2023" xr:uid="{CD5DB479-68EF-478D-87EC-41B8F44CC975}"/>
    <hyperlink ref="G62" location="ICA_Barranquilla!E69" display="Declaración y pago declaciones bimestrales de retenciones: Régimen simplificado, 2023" xr:uid="{36462C29-414B-4613-8BAE-59BFF81E67E6}"/>
    <hyperlink ref="G74" location="'Otros _Datos'!A1" display="Otros datos de interés" xr:uid="{E108FB1B-0FC4-481C-B9FA-0CDE7870E64F}"/>
    <hyperlink ref="G76" location="Contra!A1" display="Portafolio de SFAI Colombia" xr:uid="{03EAFF04-8F07-49C6-8C6A-157E3DB079B9}"/>
    <hyperlink ref="G25" location="IVA_Cuatrimestre!A1" display="Declaración de IVACuatrimestral" xr:uid="{EAF79472-A58F-43EC-A21D-C8A3C1F58DA5}"/>
    <hyperlink ref="G7" location="PersonasJurídicas!A1" display="Personas Jurídicas y demás contribuyentes diferentes a grandes contribuyentes" xr:uid="{76CA9036-2312-4736-88C7-A0F114B433C8}"/>
    <hyperlink ref="G16" location="'RST-DeclaUnificada'!A1" display="Personas del Régimen Simple de Tributación (RST)" xr:uid="{C29975B5-F008-4D82-AEA5-472223F781D7}"/>
    <hyperlink ref="G64" location="ImpoPatrimonio!A1" display="Declración y pago del Impuesto al patrimonio" xr:uid="{A9E00A61-F5CB-4276-B70F-3B7C42FF29F6}"/>
    <hyperlink ref="G66" location="AnticipoSobretasa!A1" display="Sobretasa del sector financiero y del mercado de valores" xr:uid="{C46A2409-39DC-4E95-AE42-5435D9511B37}"/>
    <hyperlink ref="G67" location="AnticipoSobretasa!A1" display="Sobretasa de los generadores de energía hídrica" xr:uid="{AC11BED1-2372-41CD-8F57-4171D2F62FDA}"/>
    <hyperlink ref="G69" location="Impoplasticos1Uso!A1" display="Declaración y pago anual del impuesto de porductos plásticos de un solo uso" xr:uid="{9CCCEEA6-F71C-4EE9-B49E-606D8553FBFA}"/>
    <hyperlink ref="G71:G72" location="ImpoBebidayComestiblesUltra!A1" display="Declración y pago del sexto bimestre del impuesto" xr:uid="{7DFA8F89-7AE9-4297-AE87-AE1BF8CBDCAB}"/>
  </hyperlink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A4D2A-26E9-4047-A677-5CCF2B9322D0}">
  <sheetPr>
    <tabColor rgb="FFFFFF00"/>
    <pageSetUpPr fitToPage="1"/>
  </sheetPr>
  <dimension ref="A1:J17"/>
  <sheetViews>
    <sheetView showGridLines="0" showRowColHeaders="0" zoomScaleNormal="100" workbookViewId="0">
      <pane ySplit="4" topLeftCell="A5" activePane="bottomLeft" state="frozen"/>
      <selection activeCell="E12" sqref="E12"/>
      <selection pane="bottomLeft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45061</v>
      </c>
      <c r="C2" s="804"/>
      <c r="D2" s="804"/>
      <c r="E2" s="22"/>
      <c r="F2" s="22"/>
      <c r="G2" s="22"/>
      <c r="H2" s="96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103">
        <f t="array" ref="B5:H5">Días+DATE(CalYear,5,1)-WEEKDAY(DATE(CalYear,5,1),(InicioDeLaSemana="Lunes")+1)+1</f>
        <v>45047</v>
      </c>
      <c r="C5" s="61">
        <v>45048</v>
      </c>
      <c r="D5" s="61">
        <v>45049</v>
      </c>
      <c r="E5" s="61">
        <v>45050</v>
      </c>
      <c r="F5" s="61">
        <v>45051</v>
      </c>
      <c r="G5" s="61">
        <v>45052</v>
      </c>
      <c r="H5" s="67">
        <v>45053</v>
      </c>
      <c r="I5" s="18"/>
    </row>
    <row r="6" spans="1:9" ht="57.95" customHeight="1" x14ac:dyDescent="0.25">
      <c r="B6" s="73" t="str">
        <f ca="1">IFERROR(IF(MostrarDíasFestivos,IF(INDEX('Días festivos'!$B$5:$G$14,MATCH(DATE(CalYear-(DAY(B5)&gt;15)+(ROW()&gt;6),MONTH(B5),DAY(B5)),IF(MostrarFestivosObservados,'Días festivos'!$F$5:$F$14,'Días festivos'!$B$5:$B$14),0),6),INDEX('Días festivos'!$B$5:$G$14,MATCH(DATE(CalYear-(DAY(B5)&gt;15)+(ROW()&gt;6),MONTH(B5),DAY(B5)),IF(MostrarFestivosObservados,'Días festivos'!$F$5:$F$14,'Días festivos'!$B$5:$B$14),0),2),""),""),"")</f>
        <v/>
      </c>
      <c r="C6" s="4" t="str">
        <f ca="1">IFERROR(IF(MostrarDíasFestivos,IF(INDEX('Días festivos'!$B$5:$G$14,MATCH(DATE(CalYear-(DAY(C5)&gt;15)+(ROW()&gt;6),MONTH(C5),DAY(C5)),IF(MostrarFestivosObservados,'Días festivos'!$F$5:$F$14,'Días festivos'!$B$5:$B$14),0),6),INDEX('Días festivos'!$B$5:$G$14,MATCH(DATE(CalYear-(DAY(C5)&gt;15)+(ROW()&gt;6),MONTH(C5),DAY(C5)),IF(MostrarFestivosObservados,'Días festivos'!$F$5:$F$14,'Días festivos'!$B$5:$B$14),0),2),""),""),"")</f>
        <v/>
      </c>
      <c r="D6" s="4" t="str">
        <f ca="1">IFERROR(IF(MostrarDíasFestivos,IF(INDEX('Días festivos'!$B$5:$G$14,MATCH(DATE(CalYear-(DAY(D5)&gt;15)+(ROW()&gt;6),MONTH(D5),DAY(D5)),IF(MostrarFestivosObservados,'Días festivos'!$F$5:$F$14,'Días festivos'!$B$5:$B$14),0),6),INDEX('Días festivos'!$B$5:$G$14,MATCH(DATE(CalYear-(DAY(D5)&gt;15)+(ROW()&gt;6),MONTH(D5),DAY(D5)),IF(MostrarFestivosObservados,'Días festivos'!$F$5:$F$14,'Días festivos'!$B$5:$B$14),0),2),""),""),"")</f>
        <v/>
      </c>
      <c r="E6" s="4" t="str">
        <f ca="1">IFERROR(IF(MostrarDíasFestivos,IF(INDEX('Días festivos'!$B$5:$G$14,MATCH(DATE(CalYear-(DAY(E5)&gt;15)+(ROW()&gt;6),MONTH(E5),DAY(E5)),IF(MostrarFestivosObservados,'Días festivos'!$F$5:$F$14,'Días festivos'!$B$5:$B$14),0),6),INDEX('Días festivos'!$B$5:$G$14,MATCH(DATE(CalYear-(DAY(E5)&gt;15)+(ROW()&gt;6),MONTH(E5),DAY(E5)),IF(MostrarFestivosObservados,'Días festivos'!$F$5:$F$14,'Días festivos'!$B$5:$B$14),0),2),""),""),"")</f>
        <v/>
      </c>
      <c r="F6" s="4" t="str">
        <f ca="1">IFERROR(IF(MostrarDíasFestivos,IF(INDEX('Días festivos'!$B$5:$G$14,MATCH(DATE(CalYear-(DAY(F5)&gt;15)+(ROW()&gt;6),MONTH(F5),DAY(F5)),IF(MostrarFestivosObservados,'Días festivos'!$F$5:$F$14,'Días festivos'!$B$5:$B$14),0),6),INDEX('Días festivos'!$B$5:$G$14,MATCH(DATE(CalYear-(DAY(F5)&gt;15)+(ROW()&gt;6),MONTH(F5),DAY(F5)),IF(MostrarFestivosObservados,'Días festivos'!$F$5:$F$14,'Días festivos'!$B$5:$B$14),0),2),""),""),"")</f>
        <v/>
      </c>
      <c r="G6" s="5" t="str">
        <f ca="1">IFERROR(IF(MostrarDíasFestivos,IF(INDEX('Días festivos'!$B$5:$G$14,MATCH(DATE(CalYear-(DAY(G5)&gt;15)+(ROW()&gt;6),MONTH(G5),DAY(G5)),IF(MostrarFestivosObservados,'Días festivos'!$F$5:$F$14,'Días festivos'!$B$5:$B$14),0),6),INDEX('Días festivos'!$B$5:$G$14,MATCH(DATE(CalYear-(DAY(G5)&gt;15)+(ROW()&gt;6),MONTH(G5),DAY(G5)),IF(MostrarFestivosObservados,'Días festivos'!$F$5:$F$14,'Días festivos'!$B$5:$B$14),0),2),""),""),"")</f>
        <v/>
      </c>
      <c r="H6" s="68" t="str">
        <f ca="1">IFERROR(IF(MostrarDíasFestivos,IF(INDEX('Días festivos'!$B$5:$G$14,MATCH(DATE(CalYear-(DAY(H5)&gt;15)+(ROW()&gt;6),MONTH(H5),DAY(H5)),IF(MostrarFestivosObservados,'Días festivos'!$F$5:$F$14,'Días festivos'!$B$5:$B$14),0),6),INDEX('Días festivos'!$B$5:$G$14,MATCH(DATE(CalYear-(DAY(H5)&gt;15)+(ROW()&gt;6),MONTH(H5),DAY(H5)),IF(MostrarFestivosObservados,'Días festivos'!$F$5:$F$14,'Días festivos'!$B$5:$B$14),0),2),""),""),"")</f>
        <v/>
      </c>
    </row>
    <row r="7" spans="1:9" s="19" customFormat="1" ht="19.5" customHeight="1" x14ac:dyDescent="0.25">
      <c r="A7" s="17"/>
      <c r="B7" s="74">
        <f t="array" ref="B7:H7">Días+DATE(CalYear,5,1)-WEEKDAY(DATE(CalYear,5,1),(InicioDeLaSemana="Lunes")+1)+8</f>
        <v>45054</v>
      </c>
      <c r="C7" s="60">
        <v>45055</v>
      </c>
      <c r="D7" s="60">
        <v>45056</v>
      </c>
      <c r="E7" s="60">
        <v>45057</v>
      </c>
      <c r="F7" s="60">
        <v>45058</v>
      </c>
      <c r="G7" s="60">
        <v>45059</v>
      </c>
      <c r="H7" s="65">
        <v>45060</v>
      </c>
      <c r="I7" s="18"/>
    </row>
    <row r="8" spans="1:9" ht="57.95" customHeight="1" x14ac:dyDescent="0.25">
      <c r="B8" s="75" t="str">
        <f ca="1">IFERROR(IF(MostrarDíasFestivos,IF(INDEX('Días festivos'!$B$5:$G$14,MATCH(DATE(CalYear,MONTH(B7),DAY(B7)),IF(MostrarFestivosObservados,'Días festivos'!$F$5:$F$14,'Días festivos'!$B$5:$B$14),0),6),INDEX('Días festivos'!$B$5:$G$14,MATCH(DATE(CalYear,MONTH(B7),DAY(B7)),IF(MostrarFestivosObservados,'Días festivos'!$F$5:$F$14,'Días festivos'!$B$5:$B$14),0),2),""),""),"")</f>
        <v/>
      </c>
      <c r="C8" s="2" t="str">
        <f ca="1">IFERROR(IF(MostrarDíasFestivos,IF(INDEX('Días festivos'!$B$5:$G$14,MATCH(DATE(CalYear,MONTH(C7),DAY(C7)),IF(MostrarFestivosObservados,'Días festivos'!$F$5:$F$14,'Días festivos'!$B$5:$B$14),0),6),INDEX('Días festivos'!$B$5:$G$14,MATCH(DATE(CalYear,MONTH(C7),DAY(C7)),IF(MostrarFestivosObservados,'Días festivos'!$F$5:$F$14,'Días festivos'!$B$5:$B$14),0),2),""),""),"")</f>
        <v/>
      </c>
      <c r="D8" s="2" t="str">
        <f ca="1">IFERROR(IF(MostrarDíasFestivos,IF(INDEX('Días festivos'!$B$5:$G$14,MATCH(DATE(CalYear,MONTH(D7),DAY(D7)),IF(MostrarFestivosObservados,'Días festivos'!$F$5:$F$14,'Días festivos'!$B$5:$B$14),0),6),INDEX('Días festivos'!$B$5:$G$14,MATCH(DATE(CalYear,MONTH(D7),DAY(D7)),IF(MostrarFestivosObservados,'Días festivos'!$F$5:$F$14,'Días festivos'!$B$5:$B$14),0),2),""),""),"")</f>
        <v/>
      </c>
      <c r="E8" s="2" t="str">
        <f ca="1">IFERROR(IF(MostrarDíasFestivos,IF(INDEX('Días festivos'!$B$5:$G$14,MATCH(DATE(CalYear,MONTH(E7),DAY(E7)),IF(MostrarFestivosObservados,'Días festivos'!$F$5:$F$14,'Días festivos'!$B$5:$B$14),0),6),INDEX('Días festivos'!$B$5:$G$14,MATCH(DATE(CalYear,MONTH(E7),DAY(E7)),IF(MostrarFestivosObservados,'Días festivos'!$F$5:$F$14,'Días festivos'!$B$5:$B$14),0),2),""),""),"")</f>
        <v/>
      </c>
      <c r="F8" s="2" t="str">
        <f ca="1">IFERROR(IF(MostrarDíasFestivos,IF(INDEX('Días festivos'!$B$5:$G$14,MATCH(DATE(CalYear,MONTH(F7),DAY(F7)),IF(MostrarFestivosObservados,'Días festivos'!$F$5:$F$14,'Días festivos'!$B$5:$B$14),0),6),INDEX('Días festivos'!$B$5:$G$14,MATCH(DATE(CalYear,MONTH(F7),DAY(F7)),IF(MostrarFestivosObservados,'Días festivos'!$F$5:$F$14,'Días festivos'!$B$5:$B$14),0),2),""),""),"")</f>
        <v/>
      </c>
      <c r="G8" s="3" t="str">
        <f ca="1">IFERROR(IF(MostrarDíasFestivos,IF(INDEX('Días festivos'!$B$5:$G$14,MATCH(DATE(CalYear,MONTH(G7),DAY(G7)),IF(MostrarFestivosObservados,'Días festivos'!$F$5:$F$14,'Días festivos'!$B$5:$B$14),0),6),INDEX('Días festivos'!$B$5:$G$14,MATCH(DATE(CalYear,MONTH(G7),DAY(G7)),IF(MostrarFestivosObservados,'Días festivos'!$F$5:$F$14,'Días festivos'!$B$5:$B$14),0),2),""),""),"")</f>
        <v/>
      </c>
      <c r="H8" s="69" t="str">
        <f ca="1">IFERROR(IF(MostrarDíasFestivos,IF(INDEX('Días festivos'!$B$5:$G$14,MATCH(DATE(CalYear,MONTH(H7),DAY(H7)),IF(MostrarFestivosObservados,'Días festivos'!$F$5:$F$14,'Días festivos'!$B$5:$B$14),0),6),INDEX('Días festivos'!$B$5:$G$14,MATCH(DATE(CalYear,MONTH(H7),DAY(H7)),IF(MostrarFestivosObservados,'Días festivos'!$F$5:$F$14,'Días festivos'!$B$5:$B$14),0),2),""),""),"")</f>
        <v/>
      </c>
    </row>
    <row r="9" spans="1:9" s="19" customFormat="1" ht="19.5" customHeight="1" x14ac:dyDescent="0.25">
      <c r="A9" s="17"/>
      <c r="B9" s="76">
        <f t="array" ref="B9:H9">Días+DATE(CalYear,5,1)-WEEKDAY(DATE(CalYear,5,1),(InicioDeLaSemana="Lunes")+1)+15</f>
        <v>45061</v>
      </c>
      <c r="C9" s="59">
        <v>45062</v>
      </c>
      <c r="D9" s="59">
        <v>45063</v>
      </c>
      <c r="E9" s="59">
        <v>45064</v>
      </c>
      <c r="F9" s="59">
        <v>45065</v>
      </c>
      <c r="G9" s="59">
        <v>45066</v>
      </c>
      <c r="H9" s="70">
        <v>45067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98">
        <f t="array" ref="B11:H11">Días+DATE(CalYear,5,1)-WEEKDAY(DATE(CalYear,5,1),(InicioDeLaSemana="Lunes")+1)+22</f>
        <v>45068</v>
      </c>
      <c r="C11" s="60">
        <v>45069</v>
      </c>
      <c r="D11" s="60">
        <v>45070</v>
      </c>
      <c r="E11" s="60">
        <v>45071</v>
      </c>
      <c r="F11" s="60">
        <v>45072</v>
      </c>
      <c r="G11" s="60">
        <v>45073</v>
      </c>
      <c r="H11" s="65">
        <v>45074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76">
        <f t="array" ref="B13:H13">Días+DATE(CalYear,5,1)-WEEKDAY(DATE(CalYear,5,1),(InicioDeLaSemana="Lunes")+1)+29</f>
        <v>45075</v>
      </c>
      <c r="C13" s="59">
        <v>45076</v>
      </c>
      <c r="D13" s="59">
        <v>45077</v>
      </c>
      <c r="E13" s="21">
        <v>45078</v>
      </c>
      <c r="F13" s="21">
        <v>45079</v>
      </c>
      <c r="G13" s="21">
        <v>45080</v>
      </c>
      <c r="H13" s="97">
        <v>45081</v>
      </c>
      <c r="I13" s="18"/>
    </row>
    <row r="14" spans="1:9" ht="57.95" customHeight="1" x14ac:dyDescent="0.25">
      <c r="B14" s="77"/>
      <c r="C14" s="6"/>
      <c r="D14" s="6"/>
      <c r="E14" s="6"/>
      <c r="F14" s="6"/>
      <c r="G14" s="7"/>
      <c r="H14" s="71"/>
    </row>
    <row r="15" spans="1:9" ht="19.5" customHeight="1" x14ac:dyDescent="0.25">
      <c r="B15" s="78">
        <f t="array" ref="B15:C15">Días+DATE(CalYear,5,1)-WEEKDAY(DATE(CalYear,5,1),(InicioDeLaSemana="Lunes")+1)+36</f>
        <v>45082</v>
      </c>
      <c r="C15" s="20">
        <v>45083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32" priority="5">
      <formula>AND(DAY(B13)&gt;=1,DAY(B13)&lt;=15)</formula>
    </cfRule>
  </conditionalFormatting>
  <conditionalFormatting sqref="B5:G5">
    <cfRule type="expression" dxfId="31" priority="4">
      <formula>DAY(B5)&gt;8</formula>
    </cfRule>
  </conditionalFormatting>
  <conditionalFormatting sqref="B5:H16">
    <cfRule type="expression" dxfId="30" priority="1">
      <formula>B5=TODAY()</formula>
    </cfRule>
    <cfRule type="expression" dxfId="29" priority="3">
      <formula>B5=TODAY()</formula>
    </cfRule>
  </conditionalFormatting>
  <conditionalFormatting sqref="A6:XFD6 A8:XFD8 A10:XFD10 A12:XFD12 A14:XFD14 A16:XFD16">
    <cfRule type="notContainsBlanks" dxfId="28" priority="2">
      <formula>LEN(TRIM(A6))&gt;0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9DE0B-C13F-4A65-B46D-F587DF038C62}">
  <sheetPr>
    <tabColor rgb="FFFFFF00"/>
    <pageSetUpPr fitToPage="1"/>
  </sheetPr>
  <dimension ref="A1:J17"/>
  <sheetViews>
    <sheetView showGridLines="0" showRowColHeaders="0" zoomScaleNormal="100" workbookViewId="0"/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45089</v>
      </c>
      <c r="C2" s="804"/>
      <c r="D2" s="804"/>
      <c r="E2" s="22"/>
      <c r="F2" s="22"/>
      <c r="G2" s="22"/>
      <c r="H2" s="96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94">
        <f t="array" ref="B5:H5">Días+DATE(CalYear,6,1)-WEEKDAY(DATE(CalYear,6,1),(InicioDeLaSemana="Lunes")+1)+1</f>
        <v>45075</v>
      </c>
      <c r="C5" s="21">
        <v>45076</v>
      </c>
      <c r="D5" s="21">
        <v>45077</v>
      </c>
      <c r="E5" s="21">
        <v>45078</v>
      </c>
      <c r="F5" s="21">
        <v>45079</v>
      </c>
      <c r="G5" s="21">
        <v>45080</v>
      </c>
      <c r="H5" s="97">
        <v>45081</v>
      </c>
      <c r="I5" s="18"/>
    </row>
    <row r="6" spans="1:9" ht="57.95" customHeight="1" x14ac:dyDescent="0.25">
      <c r="B6" s="73"/>
      <c r="C6" s="4"/>
      <c r="D6" s="4"/>
      <c r="E6" s="4"/>
      <c r="F6" s="4"/>
      <c r="G6" s="5"/>
      <c r="H6" s="68"/>
    </row>
    <row r="7" spans="1:9" s="19" customFormat="1" ht="19.5" customHeight="1" x14ac:dyDescent="0.25">
      <c r="A7" s="17"/>
      <c r="B7" s="74">
        <f t="array" ref="B7:H7">Días+DATE(CalYear,6,1)-WEEKDAY(DATE(CalYear,6,1),(InicioDeLaSemana="Lunes")+1)+8</f>
        <v>45082</v>
      </c>
      <c r="C7" s="60">
        <v>45083</v>
      </c>
      <c r="D7" s="60">
        <v>45084</v>
      </c>
      <c r="E7" s="60">
        <v>45085</v>
      </c>
      <c r="F7" s="60">
        <v>45086</v>
      </c>
      <c r="G7" s="60">
        <v>45087</v>
      </c>
      <c r="H7" s="106">
        <v>45088</v>
      </c>
      <c r="I7" s="18"/>
    </row>
    <row r="8" spans="1:9" ht="57.95" customHeight="1" x14ac:dyDescent="0.25">
      <c r="B8" s="75"/>
      <c r="C8" s="2"/>
      <c r="D8" s="2"/>
      <c r="E8" s="2"/>
      <c r="F8" s="2"/>
      <c r="G8" s="3"/>
      <c r="H8" s="69"/>
    </row>
    <row r="9" spans="1:9" s="19" customFormat="1" ht="19.5" customHeight="1" x14ac:dyDescent="0.25">
      <c r="A9" s="17"/>
      <c r="B9" s="107">
        <f t="array" ref="B9:H9">Días+DATE(CalYear,6,1)-WEEKDAY(DATE(CalYear,6,1),(InicioDeLaSemana="Lunes")+1)+15</f>
        <v>45089</v>
      </c>
      <c r="C9" s="59">
        <v>45090</v>
      </c>
      <c r="D9" s="59">
        <v>45091</v>
      </c>
      <c r="E9" s="59">
        <v>45092</v>
      </c>
      <c r="F9" s="59">
        <v>45093</v>
      </c>
      <c r="G9" s="59">
        <v>45094</v>
      </c>
      <c r="H9" s="108">
        <v>45095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98">
        <f t="array" ref="B11:H11">Días+DATE(CalYear,6,1)-WEEKDAY(DATE(CalYear,6,1),(InicioDeLaSemana="Lunes")+1)+22</f>
        <v>45096</v>
      </c>
      <c r="C11" s="60">
        <v>45097</v>
      </c>
      <c r="D11" s="60">
        <v>45098</v>
      </c>
      <c r="E11" s="60">
        <v>45099</v>
      </c>
      <c r="F11" s="60">
        <v>45100</v>
      </c>
      <c r="G11" s="60">
        <v>45101</v>
      </c>
      <c r="H11" s="106">
        <v>45102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76">
        <f t="array" ref="B13:H13">Días+DATE(CalYear,6,1)-WEEKDAY(DATE(CalYear,6,1),(InicioDeLaSemana="Lunes")+1)+29</f>
        <v>45103</v>
      </c>
      <c r="C13" s="59">
        <v>45104</v>
      </c>
      <c r="D13" s="59">
        <v>45105</v>
      </c>
      <c r="E13" s="59">
        <v>45106</v>
      </c>
      <c r="F13" s="59">
        <v>45107</v>
      </c>
      <c r="G13" s="21">
        <v>45108</v>
      </c>
      <c r="H13" s="97">
        <v>45109</v>
      </c>
      <c r="I13" s="18"/>
    </row>
    <row r="14" spans="1:9" ht="57.95" customHeight="1" x14ac:dyDescent="0.25">
      <c r="B14" s="77"/>
      <c r="C14" s="6"/>
      <c r="D14" s="6"/>
      <c r="E14" s="6"/>
      <c r="F14" s="6"/>
      <c r="G14" s="7"/>
      <c r="H14" s="71"/>
    </row>
    <row r="15" spans="1:9" ht="19.5" customHeight="1" x14ac:dyDescent="0.25">
      <c r="B15" s="78">
        <f t="array" ref="B15:C15">Días+DATE(CalYear,6,1)-WEEKDAY(DATE(CalYear,6,1),(InicioDeLaSemana="Lunes")+1)+36</f>
        <v>45110</v>
      </c>
      <c r="C15" s="20">
        <v>45111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27" priority="4">
      <formula>AND(DAY(B13)&gt;=1,DAY(B13)&lt;=15)</formula>
    </cfRule>
  </conditionalFormatting>
  <conditionalFormatting sqref="B5:G5">
    <cfRule type="expression" dxfId="26" priority="3">
      <formula>DAY(B5)&gt;8</formula>
    </cfRule>
  </conditionalFormatting>
  <conditionalFormatting sqref="B5:H16">
    <cfRule type="expression" dxfId="25" priority="2">
      <formula>B5=TODAY()</formula>
    </cfRule>
  </conditionalFormatting>
  <conditionalFormatting sqref="A6:XFD6 A8:XFD8 A10:XFD10 A12:XFD12 A14:XFD14 A16:XFD16">
    <cfRule type="notContainsBlanks" dxfId="24" priority="1">
      <formula>LEN(TRIM(A6))&gt;0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BA7EB-E904-48FA-9F12-9AFCBC9C4D2A}">
  <sheetPr>
    <tabColor rgb="FFFFFF00"/>
    <pageSetUpPr fitToPage="1"/>
  </sheetPr>
  <dimension ref="A1:J17"/>
  <sheetViews>
    <sheetView showGridLines="0" showRowColHeaders="0" zoomScaleNormal="100" workbookViewId="0">
      <pane ySplit="4" topLeftCell="A5" activePane="bottomLeft" state="frozen"/>
      <selection activeCell="E12" sqref="E12"/>
      <selection pane="bottomLeft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45117</v>
      </c>
      <c r="C2" s="804"/>
      <c r="D2" s="804"/>
      <c r="E2" s="22"/>
      <c r="F2" s="22"/>
      <c r="G2" s="22"/>
      <c r="H2" s="96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94">
        <f t="array" ref="B5:H5">Días+DATE(CalYear,7,1)-WEEKDAY(DATE(CalYear,7,1),(InicioDeLaSemana="Lunes")+1)+1</f>
        <v>45103</v>
      </c>
      <c r="C5" s="21">
        <v>45104</v>
      </c>
      <c r="D5" s="21">
        <v>45105</v>
      </c>
      <c r="E5" s="21">
        <v>45106</v>
      </c>
      <c r="F5" s="21">
        <v>45107</v>
      </c>
      <c r="G5" s="61">
        <v>45108</v>
      </c>
      <c r="H5" s="67">
        <v>45109</v>
      </c>
      <c r="I5" s="18"/>
    </row>
    <row r="6" spans="1:9" ht="57.95" customHeight="1" x14ac:dyDescent="0.25">
      <c r="B6" s="73"/>
      <c r="C6" s="4"/>
      <c r="D6" s="4"/>
      <c r="E6" s="4"/>
      <c r="F6" s="4"/>
      <c r="G6" s="5"/>
      <c r="H6" s="68"/>
    </row>
    <row r="7" spans="1:9" s="19" customFormat="1" ht="19.5" customHeight="1" x14ac:dyDescent="0.25">
      <c r="A7" s="17"/>
      <c r="B7" s="98">
        <f t="array" ref="B7:H7">Días+DATE(CalYear,7,1)-WEEKDAY(DATE(CalYear,7,1),(InicioDeLaSemana="Lunes")+1)+8</f>
        <v>45110</v>
      </c>
      <c r="C7" s="60">
        <v>45111</v>
      </c>
      <c r="D7" s="60">
        <v>45112</v>
      </c>
      <c r="E7" s="60">
        <v>45113</v>
      </c>
      <c r="F7" s="60">
        <v>45114</v>
      </c>
      <c r="G7" s="60">
        <v>45115</v>
      </c>
      <c r="H7" s="65">
        <v>45116</v>
      </c>
      <c r="I7" s="18"/>
    </row>
    <row r="8" spans="1:9" ht="57.95" customHeight="1" x14ac:dyDescent="0.25">
      <c r="B8" s="75"/>
      <c r="C8" s="2"/>
      <c r="D8" s="2"/>
      <c r="E8" s="2"/>
      <c r="F8" s="2"/>
      <c r="G8" s="3"/>
      <c r="H8" s="69"/>
    </row>
    <row r="9" spans="1:9" s="19" customFormat="1" ht="19.5" customHeight="1" x14ac:dyDescent="0.25">
      <c r="A9" s="17"/>
      <c r="B9" s="76">
        <f t="array" ref="B9:H9">Días+DATE(CalYear,7,1)-WEEKDAY(DATE(CalYear,7,1),(InicioDeLaSemana="Lunes")+1)+15</f>
        <v>45117</v>
      </c>
      <c r="C9" s="59">
        <v>45118</v>
      </c>
      <c r="D9" s="59">
        <v>45119</v>
      </c>
      <c r="E9" s="59">
        <v>45120</v>
      </c>
      <c r="F9" s="59">
        <v>45121</v>
      </c>
      <c r="G9" s="59">
        <v>45122</v>
      </c>
      <c r="H9" s="70">
        <v>45123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74">
        <f t="array" ref="B11:H11">Días+DATE(CalYear,7,1)-WEEKDAY(DATE(CalYear,7,1),(InicioDeLaSemana="Lunes")+1)+22</f>
        <v>45124</v>
      </c>
      <c r="C11" s="60">
        <v>45125</v>
      </c>
      <c r="D11" s="60">
        <v>45126</v>
      </c>
      <c r="E11" s="64">
        <v>45127</v>
      </c>
      <c r="F11" s="60">
        <v>45128</v>
      </c>
      <c r="G11" s="60">
        <v>45129</v>
      </c>
      <c r="H11" s="65">
        <v>45130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76">
        <f t="array" ref="B13:H13">Días+DATE(CalYear,7,1)-WEEKDAY(DATE(CalYear,7,1),(InicioDeLaSemana="Lunes")+1)+29</f>
        <v>45131</v>
      </c>
      <c r="C13" s="59">
        <v>45132</v>
      </c>
      <c r="D13" s="59">
        <v>45133</v>
      </c>
      <c r="E13" s="59">
        <v>45134</v>
      </c>
      <c r="F13" s="59">
        <v>45135</v>
      </c>
      <c r="G13" s="59">
        <v>45136</v>
      </c>
      <c r="H13" s="70">
        <v>45137</v>
      </c>
      <c r="I13" s="18"/>
    </row>
    <row r="14" spans="1:9" ht="57.95" customHeight="1" x14ac:dyDescent="0.25">
      <c r="B14" s="77"/>
      <c r="C14" s="6"/>
      <c r="D14" s="6"/>
      <c r="E14" s="6"/>
      <c r="F14" s="6"/>
      <c r="G14" s="7"/>
      <c r="H14" s="71"/>
    </row>
    <row r="15" spans="1:9" ht="19.5" customHeight="1" x14ac:dyDescent="0.25">
      <c r="B15" s="74">
        <f t="array" ref="B15:C15">Días+DATE(CalYear,7,1)-WEEKDAY(DATE(CalYear,7,1),(InicioDeLaSemana="Lunes")+1)+36</f>
        <v>45138</v>
      </c>
      <c r="C15" s="20">
        <v>45139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23" priority="4">
      <formula>AND(DAY(B13)&gt;=1,DAY(B13)&lt;=15)</formula>
    </cfRule>
  </conditionalFormatting>
  <conditionalFormatting sqref="B5:G5">
    <cfRule type="expression" dxfId="22" priority="3">
      <formula>DAY(B5)&gt;8</formula>
    </cfRule>
  </conditionalFormatting>
  <conditionalFormatting sqref="B5:H16">
    <cfRule type="expression" dxfId="21" priority="2">
      <formula>B5=TODAY()</formula>
    </cfRule>
  </conditionalFormatting>
  <conditionalFormatting sqref="A6:XFD6 A8:XFD8 A10:XFD10 A12:XFD12 A14:XFD14 A16:XFD16">
    <cfRule type="notContainsBlanks" dxfId="20" priority="1">
      <formula>LEN(TRIM(A6))&gt;0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997C-9E8F-4FDC-B15C-53D224470694}">
  <sheetPr>
    <tabColor rgb="FFFFFF00"/>
    <pageSetUpPr fitToPage="1"/>
  </sheetPr>
  <dimension ref="A1:J17"/>
  <sheetViews>
    <sheetView showGridLines="0" showRowColHeaders="0" zoomScaleNormal="100" workbookViewId="0">
      <pane ySplit="4" topLeftCell="A5" activePane="bottomLeft" state="frozen"/>
      <selection activeCell="G12" sqref="G12"/>
      <selection pane="bottomLeft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45152</v>
      </c>
      <c r="C2" s="804"/>
      <c r="D2" s="804"/>
      <c r="E2" s="22"/>
      <c r="F2" s="22"/>
      <c r="G2" s="22"/>
      <c r="H2" s="96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94">
        <f t="array" ref="B5:H5">Días+DATE(CalYear,8,1)-WEEKDAY(DATE(CalYear,8,1),(InicioDeLaSemana="Lunes")+1)+1</f>
        <v>45138</v>
      </c>
      <c r="C5" s="61">
        <v>45139</v>
      </c>
      <c r="D5" s="61">
        <v>45140</v>
      </c>
      <c r="E5" s="61">
        <v>45141</v>
      </c>
      <c r="F5" s="61">
        <v>45142</v>
      </c>
      <c r="G5" s="61">
        <v>45143</v>
      </c>
      <c r="H5" s="67">
        <v>45144</v>
      </c>
      <c r="I5" s="18"/>
    </row>
    <row r="6" spans="1:9" ht="57.95" customHeight="1" x14ac:dyDescent="0.25">
      <c r="B6" s="73"/>
      <c r="C6" s="4"/>
      <c r="D6" s="4"/>
      <c r="E6" s="4"/>
      <c r="F6" s="4"/>
      <c r="G6" s="5"/>
      <c r="H6" s="68"/>
    </row>
    <row r="7" spans="1:9" s="19" customFormat="1" ht="19.5" customHeight="1" x14ac:dyDescent="0.25">
      <c r="A7" s="17"/>
      <c r="B7" s="98">
        <f t="array" ref="B7:H7">Días+DATE(CalYear,8,1)-WEEKDAY(DATE(CalYear,8,1),(InicioDeLaSemana="Lunes")+1)+8</f>
        <v>45145</v>
      </c>
      <c r="C7" s="60">
        <v>45146</v>
      </c>
      <c r="D7" s="60">
        <v>45147</v>
      </c>
      <c r="E7" s="60">
        <v>45148</v>
      </c>
      <c r="F7" s="60">
        <v>45149</v>
      </c>
      <c r="G7" s="60">
        <v>45150</v>
      </c>
      <c r="H7" s="65">
        <v>45151</v>
      </c>
      <c r="I7" s="18"/>
    </row>
    <row r="8" spans="1:9" ht="57.95" customHeight="1" x14ac:dyDescent="0.25">
      <c r="B8" s="75"/>
      <c r="C8" s="2"/>
      <c r="D8" s="2"/>
      <c r="E8" s="2"/>
      <c r="F8" s="2"/>
      <c r="G8" s="3"/>
      <c r="H8" s="69"/>
    </row>
    <row r="9" spans="1:9" s="19" customFormat="1" ht="19.5" customHeight="1" x14ac:dyDescent="0.25">
      <c r="A9" s="17"/>
      <c r="B9" s="76">
        <f t="array" ref="B9:H9">Días+DATE(CalYear,8,1)-WEEKDAY(DATE(CalYear,8,1),(InicioDeLaSemana="Lunes")+1)+15</f>
        <v>45152</v>
      </c>
      <c r="C9" s="59">
        <v>45153</v>
      </c>
      <c r="D9" s="59">
        <v>45154</v>
      </c>
      <c r="E9" s="59">
        <v>45155</v>
      </c>
      <c r="F9" s="59">
        <v>45156</v>
      </c>
      <c r="G9" s="59">
        <v>45157</v>
      </c>
      <c r="H9" s="70">
        <v>45158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98">
        <f t="array" ref="B11:H11">Días+DATE(CalYear,8,1)-WEEKDAY(DATE(CalYear,8,1),(InicioDeLaSemana="Lunes")+1)+22</f>
        <v>45159</v>
      </c>
      <c r="C11" s="60">
        <v>45160</v>
      </c>
      <c r="D11" s="60">
        <v>45161</v>
      </c>
      <c r="E11" s="60">
        <v>45162</v>
      </c>
      <c r="F11" s="60">
        <v>45163</v>
      </c>
      <c r="G11" s="60">
        <v>45164</v>
      </c>
      <c r="H11" s="65">
        <v>45165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76">
        <f t="array" ref="B13:H13">Días+DATE(CalYear,8,1)-WEEKDAY(DATE(CalYear,8,1),(InicioDeLaSemana="Lunes")+1)+29</f>
        <v>45166</v>
      </c>
      <c r="C13" s="59">
        <v>45167</v>
      </c>
      <c r="D13" s="59">
        <v>45168</v>
      </c>
      <c r="E13" s="59">
        <v>45169</v>
      </c>
      <c r="F13" s="21">
        <v>45170</v>
      </c>
      <c r="G13" s="21">
        <v>45171</v>
      </c>
      <c r="H13" s="97">
        <v>45172</v>
      </c>
      <c r="I13" s="18"/>
    </row>
    <row r="14" spans="1:9" ht="57.95" customHeight="1" x14ac:dyDescent="0.25">
      <c r="B14" s="77"/>
      <c r="C14" s="6"/>
      <c r="D14" s="6"/>
      <c r="E14" s="6"/>
      <c r="F14" s="6"/>
      <c r="G14" s="7"/>
      <c r="H14" s="71"/>
    </row>
    <row r="15" spans="1:9" ht="19.5" customHeight="1" x14ac:dyDescent="0.25">
      <c r="B15" s="78">
        <f t="array" ref="B15:C15">Días+DATE(CalYear,8,1)-WEEKDAY(DATE(CalYear,8,1),(InicioDeLaSemana="Lunes")+1)+36</f>
        <v>45173</v>
      </c>
      <c r="C15" s="20">
        <v>45174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19" priority="4">
      <formula>AND(DAY(B13)&gt;=1,DAY(B13)&lt;=15)</formula>
    </cfRule>
  </conditionalFormatting>
  <conditionalFormatting sqref="B5:G5">
    <cfRule type="expression" dxfId="18" priority="3">
      <formula>DAY(B5)&gt;8</formula>
    </cfRule>
  </conditionalFormatting>
  <conditionalFormatting sqref="B5:H16">
    <cfRule type="expression" dxfId="17" priority="2">
      <formula>B5=TODAY()</formula>
    </cfRule>
  </conditionalFormatting>
  <conditionalFormatting sqref="A6:XFD6 A8:XFD8 A10:XFD10 A12:XFD12 A14:XFD14 A16:XFD16">
    <cfRule type="notContainsBlanks" dxfId="16" priority="1">
      <formula>LEN(TRIM(A6))&gt;0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F329E-483C-44F4-A415-7A9064A0FADE}">
  <sheetPr>
    <tabColor rgb="FFFFFF00"/>
    <pageSetUpPr fitToPage="1"/>
  </sheetPr>
  <dimension ref="A1:J17"/>
  <sheetViews>
    <sheetView showGridLines="0" showRowColHeaders="0" zoomScaleNormal="100" workbookViewId="0">
      <pane ySplit="4" topLeftCell="A5" activePane="bottomLeft" state="frozen"/>
      <selection activeCell="E12" sqref="E12"/>
      <selection pane="bottomLeft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45180</v>
      </c>
      <c r="C2" s="804"/>
      <c r="D2" s="804"/>
      <c r="E2" s="22"/>
      <c r="F2" s="22"/>
      <c r="G2" s="22"/>
      <c r="H2" s="96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94">
        <f t="array" ref="B5:H5">Días+DATE(CalYear,9,1)-WEEKDAY(DATE(CalYear,9,1),(InicioDeLaSemana="Lunes")+1)+1</f>
        <v>45166</v>
      </c>
      <c r="C5" s="21">
        <v>45167</v>
      </c>
      <c r="D5" s="21">
        <v>45168</v>
      </c>
      <c r="E5" s="21">
        <v>45169</v>
      </c>
      <c r="F5" s="61">
        <v>45170</v>
      </c>
      <c r="G5" s="61">
        <v>45171</v>
      </c>
      <c r="H5" s="67">
        <v>45172</v>
      </c>
      <c r="I5" s="18"/>
    </row>
    <row r="6" spans="1:9" ht="57.95" customHeight="1" x14ac:dyDescent="0.25">
      <c r="B6" s="73"/>
      <c r="C6" s="4"/>
      <c r="D6" s="4"/>
      <c r="E6" s="4"/>
      <c r="F6" s="4"/>
      <c r="G6" s="5"/>
      <c r="H6" s="68"/>
    </row>
    <row r="7" spans="1:9" s="19" customFormat="1" ht="19.5" customHeight="1" x14ac:dyDescent="0.25">
      <c r="A7" s="17"/>
      <c r="B7" s="74">
        <f t="array" ref="B7:H7">Días+DATE(CalYear,9,1)-WEEKDAY(DATE(CalYear,9,1),(InicioDeLaSemana="Lunes")+1)+8</f>
        <v>45173</v>
      </c>
      <c r="C7" s="60">
        <v>45174</v>
      </c>
      <c r="D7" s="60">
        <v>45175</v>
      </c>
      <c r="E7" s="60">
        <v>45176</v>
      </c>
      <c r="F7" s="60">
        <v>45177</v>
      </c>
      <c r="G7" s="60">
        <v>45178</v>
      </c>
      <c r="H7" s="65">
        <v>45179</v>
      </c>
      <c r="I7" s="18"/>
    </row>
    <row r="8" spans="1:9" ht="57.95" customHeight="1" x14ac:dyDescent="0.25">
      <c r="B8" s="75"/>
      <c r="C8" s="2"/>
      <c r="D8" s="2"/>
      <c r="E8" s="2"/>
      <c r="F8" s="2"/>
      <c r="G8" s="3"/>
      <c r="H8" s="69"/>
    </row>
    <row r="9" spans="1:9" s="19" customFormat="1" ht="19.5" customHeight="1" x14ac:dyDescent="0.25">
      <c r="A9" s="17"/>
      <c r="B9" s="76">
        <f t="array" ref="B9:H9">Días+DATE(CalYear,9,1)-WEEKDAY(DATE(CalYear,9,1),(InicioDeLaSemana="Lunes")+1)+15</f>
        <v>45180</v>
      </c>
      <c r="C9" s="59">
        <v>45181</v>
      </c>
      <c r="D9" s="59">
        <v>45182</v>
      </c>
      <c r="E9" s="59">
        <v>45183</v>
      </c>
      <c r="F9" s="59">
        <v>45184</v>
      </c>
      <c r="G9" s="59">
        <v>45185</v>
      </c>
      <c r="H9" s="70">
        <v>45186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74">
        <f t="array" ref="B11:H11">Días+DATE(CalYear,9,1)-WEEKDAY(DATE(CalYear,9,1),(InicioDeLaSemana="Lunes")+1)+22</f>
        <v>45187</v>
      </c>
      <c r="C11" s="60">
        <v>45188</v>
      </c>
      <c r="D11" s="60">
        <v>45189</v>
      </c>
      <c r="E11" s="60">
        <v>45190</v>
      </c>
      <c r="F11" s="60">
        <v>45191</v>
      </c>
      <c r="G11" s="60">
        <v>45192</v>
      </c>
      <c r="H11" s="65">
        <v>45193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76">
        <f t="array" ref="B13:H13">Días+DATE(CalYear,9,1)-WEEKDAY(DATE(CalYear,9,1),(InicioDeLaSemana="Lunes")+1)+29</f>
        <v>45194</v>
      </c>
      <c r="C13" s="59">
        <v>45195</v>
      </c>
      <c r="D13" s="59">
        <v>45196</v>
      </c>
      <c r="E13" s="59">
        <v>45197</v>
      </c>
      <c r="F13" s="59">
        <v>45198</v>
      </c>
      <c r="G13" s="59">
        <v>45199</v>
      </c>
      <c r="H13" s="97">
        <v>45200</v>
      </c>
      <c r="I13" s="18"/>
    </row>
    <row r="14" spans="1:9" ht="57.95" customHeight="1" x14ac:dyDescent="0.25">
      <c r="B14" s="77"/>
      <c r="C14" s="6"/>
      <c r="D14" s="6"/>
      <c r="E14" s="6"/>
      <c r="F14" s="6"/>
      <c r="G14" s="7"/>
      <c r="H14" s="71"/>
    </row>
    <row r="15" spans="1:9" ht="19.5" customHeight="1" x14ac:dyDescent="0.25">
      <c r="B15" s="78">
        <f t="array" ref="B15:C15">Días+DATE(CalYear,9,1)-WEEKDAY(DATE(CalYear,9,1),(InicioDeLaSemana="Lunes")+1)+36</f>
        <v>45201</v>
      </c>
      <c r="C15" s="20">
        <v>45202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15" priority="4">
      <formula>AND(DAY(B13)&gt;=1,DAY(B13)&lt;=15)</formula>
    </cfRule>
  </conditionalFormatting>
  <conditionalFormatting sqref="B5:G5">
    <cfRule type="expression" dxfId="14" priority="3">
      <formula>DAY(B5)&gt;8</formula>
    </cfRule>
  </conditionalFormatting>
  <conditionalFormatting sqref="B5:H16">
    <cfRule type="expression" dxfId="13" priority="2">
      <formula>B5=TODAY()</formula>
    </cfRule>
  </conditionalFormatting>
  <conditionalFormatting sqref="A6:XFD6 A8:XFD8 A10:XFD10 A12:XFD12 A14:XFD14 A16:XFD16">
    <cfRule type="notContainsBlanks" dxfId="12" priority="1">
      <formula>LEN(TRIM(A6))&gt;0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D4AEE-208E-4770-9CC5-7E977D72BDFF}">
  <sheetPr>
    <tabColor rgb="FFFFFF00"/>
    <pageSetUpPr fitToPage="1"/>
  </sheetPr>
  <dimension ref="A1:J17"/>
  <sheetViews>
    <sheetView showGridLines="0" showRowColHeaders="0" zoomScaleNormal="100" workbookViewId="0">
      <pane ySplit="4" topLeftCell="A5" activePane="bottomLeft" state="frozen"/>
      <selection activeCell="E12" sqref="E12"/>
      <selection pane="bottomLeft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45208</v>
      </c>
      <c r="C2" s="804"/>
      <c r="D2" s="804"/>
      <c r="E2" s="22"/>
      <c r="F2" s="22"/>
      <c r="G2" s="22"/>
      <c r="H2" s="96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94">
        <f t="array" ref="B5:H5">Días+DATE(CalYear,10,1)-WEEKDAY(DATE(CalYear,10,1),(InicioDeLaSemana="Lunes")+1)+1</f>
        <v>45194</v>
      </c>
      <c r="C5" s="21">
        <v>45195</v>
      </c>
      <c r="D5" s="21">
        <v>45196</v>
      </c>
      <c r="E5" s="21">
        <v>45197</v>
      </c>
      <c r="F5" s="21">
        <v>45198</v>
      </c>
      <c r="G5" s="21">
        <v>45199</v>
      </c>
      <c r="H5" s="67">
        <v>45200</v>
      </c>
      <c r="I5" s="18"/>
    </row>
    <row r="6" spans="1:9" ht="57.95" customHeight="1" x14ac:dyDescent="0.25">
      <c r="B6" s="73"/>
      <c r="C6" s="4"/>
      <c r="D6" s="4"/>
      <c r="E6" s="4"/>
      <c r="F6" s="4"/>
      <c r="G6" s="5"/>
      <c r="H6" s="68"/>
    </row>
    <row r="7" spans="1:9" s="19" customFormat="1" ht="19.5" customHeight="1" x14ac:dyDescent="0.25">
      <c r="A7" s="17"/>
      <c r="B7" s="74">
        <f t="array" ref="B7:H7">Días+DATE(CalYear,10,1)-WEEKDAY(DATE(CalYear,10,1),(InicioDeLaSemana="Lunes")+1)+8</f>
        <v>45201</v>
      </c>
      <c r="C7" s="60">
        <v>45202</v>
      </c>
      <c r="D7" s="60">
        <v>45203</v>
      </c>
      <c r="E7" s="60">
        <v>45204</v>
      </c>
      <c r="F7" s="60">
        <v>45205</v>
      </c>
      <c r="G7" s="60">
        <v>45206</v>
      </c>
      <c r="H7" s="65">
        <v>45207</v>
      </c>
      <c r="I7" s="18"/>
    </row>
    <row r="8" spans="1:9" ht="57.95" customHeight="1" x14ac:dyDescent="0.25">
      <c r="B8" s="75"/>
      <c r="C8" s="2"/>
      <c r="D8" s="2"/>
      <c r="E8" s="2"/>
      <c r="F8" s="2"/>
      <c r="G8" s="3"/>
      <c r="H8" s="69"/>
    </row>
    <row r="9" spans="1:9" s="19" customFormat="1" ht="19.5" customHeight="1" x14ac:dyDescent="0.25">
      <c r="A9" s="17"/>
      <c r="B9" s="76">
        <f t="array" ref="B9:H9">Días+DATE(CalYear,10,1)-WEEKDAY(DATE(CalYear,10,1),(InicioDeLaSemana="Lunes")+1)+15</f>
        <v>45208</v>
      </c>
      <c r="C9" s="59">
        <v>45209</v>
      </c>
      <c r="D9" s="59">
        <v>45210</v>
      </c>
      <c r="E9" s="59">
        <v>45211</v>
      </c>
      <c r="F9" s="59">
        <v>45212</v>
      </c>
      <c r="G9" s="59">
        <v>45213</v>
      </c>
      <c r="H9" s="70">
        <v>45214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98">
        <f t="array" ref="B11:H11">Días+DATE(CalYear,10,1)-WEEKDAY(DATE(CalYear,10,1),(InicioDeLaSemana="Lunes")+1)+22</f>
        <v>45215</v>
      </c>
      <c r="C11" s="60">
        <v>45216</v>
      </c>
      <c r="D11" s="60">
        <v>45217</v>
      </c>
      <c r="E11" s="60">
        <v>45218</v>
      </c>
      <c r="F11" s="60">
        <v>45219</v>
      </c>
      <c r="G11" s="60">
        <v>45220</v>
      </c>
      <c r="H11" s="65">
        <v>45221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76">
        <f t="array" ref="B13:H13">Días+DATE(CalYear,10,1)-WEEKDAY(DATE(CalYear,10,1),(InicioDeLaSemana="Lunes")+1)+29</f>
        <v>45222</v>
      </c>
      <c r="C13" s="59">
        <v>45223</v>
      </c>
      <c r="D13" s="59">
        <v>45224</v>
      </c>
      <c r="E13" s="59">
        <v>45225</v>
      </c>
      <c r="F13" s="59">
        <v>45226</v>
      </c>
      <c r="G13" s="59">
        <v>45227</v>
      </c>
      <c r="H13" s="70">
        <v>45228</v>
      </c>
      <c r="I13" s="18"/>
    </row>
    <row r="14" spans="1:9" ht="57.95" customHeight="1" x14ac:dyDescent="0.25">
      <c r="B14" s="77"/>
      <c r="C14" s="6"/>
      <c r="D14" s="6"/>
      <c r="E14" s="6"/>
      <c r="F14" s="6"/>
      <c r="G14" s="7"/>
      <c r="H14" s="71"/>
    </row>
    <row r="15" spans="1:9" ht="19.5" customHeight="1" x14ac:dyDescent="0.25">
      <c r="B15" s="74">
        <f t="array" ref="B15:C15">Días+DATE(CalYear,10,1)-WEEKDAY(DATE(CalYear,10,1),(InicioDeLaSemana="Lunes")+1)+36</f>
        <v>45229</v>
      </c>
      <c r="C15" s="60">
        <v>45230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11" priority="4">
      <formula>AND(DAY(B13)&gt;=1,DAY(B13)&lt;=15)</formula>
    </cfRule>
  </conditionalFormatting>
  <conditionalFormatting sqref="B5:G5">
    <cfRule type="expression" dxfId="10" priority="3">
      <formula>DAY(B5)&gt;8</formula>
    </cfRule>
  </conditionalFormatting>
  <conditionalFormatting sqref="B5:H16">
    <cfRule type="expression" dxfId="9" priority="2">
      <formula>B5=TODAY()</formula>
    </cfRule>
  </conditionalFormatting>
  <conditionalFormatting sqref="A6:XFD6 A8:XFD8 A10:XFD10 A12:XFD12 A14:XFD14 A16:XFD16">
    <cfRule type="notContainsBlanks" dxfId="8" priority="1">
      <formula>LEN(TRIM(A6))&gt;0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A93CC-56BA-4D01-B5A1-DF6D132882DD}">
  <sheetPr>
    <tabColor rgb="FFFFFF00"/>
    <pageSetUpPr fitToPage="1"/>
  </sheetPr>
  <dimension ref="A1:J17"/>
  <sheetViews>
    <sheetView showGridLines="0" showRowColHeaders="0" zoomScaleNormal="100" workbookViewId="0">
      <pane ySplit="4" topLeftCell="A5" activePane="bottomLeft" state="frozen"/>
      <selection activeCell="E12" sqref="E12"/>
      <selection pane="bottomLeft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45243</v>
      </c>
      <c r="C2" s="804"/>
      <c r="D2" s="804"/>
      <c r="E2" s="22"/>
      <c r="F2" s="22"/>
      <c r="G2" s="22"/>
      <c r="H2" s="96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94">
        <f t="array" ref="B5:H5">Días+DATE(CalYear,11,1)-WEEKDAY(DATE(CalYear,11,1),(InicioDeLaSemana="Lunes")+1)+1</f>
        <v>45229</v>
      </c>
      <c r="C5" s="21">
        <v>45230</v>
      </c>
      <c r="D5" s="61">
        <v>45231</v>
      </c>
      <c r="E5" s="61">
        <v>45232</v>
      </c>
      <c r="F5" s="61">
        <v>45233</v>
      </c>
      <c r="G5" s="61">
        <v>45234</v>
      </c>
      <c r="H5" s="67">
        <v>45235</v>
      </c>
      <c r="I5" s="18"/>
    </row>
    <row r="6" spans="1:9" ht="57.95" customHeight="1" x14ac:dyDescent="0.25">
      <c r="B6" s="73"/>
      <c r="C6" s="4"/>
      <c r="D6" s="4"/>
      <c r="E6" s="4"/>
      <c r="F6" s="4"/>
      <c r="G6" s="5"/>
      <c r="H6" s="68"/>
    </row>
    <row r="7" spans="1:9" s="19" customFormat="1" ht="19.5" customHeight="1" x14ac:dyDescent="0.25">
      <c r="A7" s="17"/>
      <c r="B7" s="98">
        <f t="array" ref="B7:H7">Días+DATE(CalYear,11,1)-WEEKDAY(DATE(CalYear,11,1),(InicioDeLaSemana="Lunes")+1)+8</f>
        <v>45236</v>
      </c>
      <c r="C7" s="60">
        <v>45237</v>
      </c>
      <c r="D7" s="60">
        <v>45238</v>
      </c>
      <c r="E7" s="60">
        <v>45239</v>
      </c>
      <c r="F7" s="60">
        <v>45240</v>
      </c>
      <c r="G7" s="60">
        <v>45241</v>
      </c>
      <c r="H7" s="65">
        <v>45242</v>
      </c>
      <c r="I7" s="18"/>
    </row>
    <row r="8" spans="1:9" ht="57.95" customHeight="1" x14ac:dyDescent="0.25">
      <c r="B8" s="75"/>
      <c r="C8" s="2"/>
      <c r="D8" s="2"/>
      <c r="E8" s="2"/>
      <c r="F8" s="2"/>
      <c r="G8" s="3"/>
      <c r="H8" s="69"/>
    </row>
    <row r="9" spans="1:9" s="19" customFormat="1" ht="19.5" customHeight="1" x14ac:dyDescent="0.25">
      <c r="A9" s="17"/>
      <c r="B9" s="107">
        <f t="array" ref="B9:H9">Días+DATE(CalYear,11,1)-WEEKDAY(DATE(CalYear,11,1),(InicioDeLaSemana="Lunes")+1)+15</f>
        <v>45243</v>
      </c>
      <c r="C9" s="59">
        <v>45244</v>
      </c>
      <c r="D9" s="59">
        <v>45245</v>
      </c>
      <c r="E9" s="59">
        <v>45246</v>
      </c>
      <c r="F9" s="59">
        <v>45247</v>
      </c>
      <c r="G9" s="59">
        <v>45248</v>
      </c>
      <c r="H9" s="70">
        <v>45249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74">
        <f t="array" ref="B11:H11">Días+DATE(CalYear,11,1)-WEEKDAY(DATE(CalYear,11,1),(InicioDeLaSemana="Lunes")+1)+22</f>
        <v>45250</v>
      </c>
      <c r="C11" s="60">
        <v>45251</v>
      </c>
      <c r="D11" s="60">
        <v>45252</v>
      </c>
      <c r="E11" s="60">
        <v>45253</v>
      </c>
      <c r="F11" s="60">
        <v>45254</v>
      </c>
      <c r="G11" s="60">
        <v>45255</v>
      </c>
      <c r="H11" s="65">
        <v>45256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76">
        <f t="array" ref="B13:H13">Días+DATE(CalYear,11,1)-WEEKDAY(DATE(CalYear,11,1),(InicioDeLaSemana="Lunes")+1)+29</f>
        <v>45257</v>
      </c>
      <c r="C13" s="59">
        <v>45258</v>
      </c>
      <c r="D13" s="59">
        <v>45259</v>
      </c>
      <c r="E13" s="59">
        <v>45260</v>
      </c>
      <c r="F13" s="21">
        <v>45261</v>
      </c>
      <c r="G13" s="21">
        <v>45262</v>
      </c>
      <c r="H13" s="97">
        <v>45263</v>
      </c>
      <c r="I13" s="18"/>
    </row>
    <row r="14" spans="1:9" ht="57.95" customHeight="1" x14ac:dyDescent="0.25">
      <c r="B14" s="77"/>
      <c r="C14" s="6"/>
      <c r="D14" s="6"/>
      <c r="E14" s="6"/>
      <c r="F14" s="6"/>
      <c r="G14" s="7"/>
      <c r="H14" s="71"/>
    </row>
    <row r="15" spans="1:9" ht="19.5" customHeight="1" x14ac:dyDescent="0.25">
      <c r="B15" s="78">
        <f t="array" ref="B15:C15">Días+DATE(CalYear,11,1)-WEEKDAY(DATE(CalYear,11,1),(InicioDeLaSemana="Lunes")+1)+36</f>
        <v>45264</v>
      </c>
      <c r="C15" s="20">
        <v>45265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7" priority="4">
      <formula>AND(DAY(B13)&gt;=1,DAY(B13)&lt;=15)</formula>
    </cfRule>
  </conditionalFormatting>
  <conditionalFormatting sqref="B5:G5">
    <cfRule type="expression" dxfId="6" priority="3">
      <formula>DAY(B5)&gt;8</formula>
    </cfRule>
  </conditionalFormatting>
  <conditionalFormatting sqref="B5:H16">
    <cfRule type="expression" dxfId="5" priority="2">
      <formula>B5=TODAY()</formula>
    </cfRule>
  </conditionalFormatting>
  <conditionalFormatting sqref="A6:XFD6 A8:XFD8 A10:XFD10 A12:XFD12 A14:XFD14 A16:XFD16">
    <cfRule type="notContainsBlanks" dxfId="4" priority="5">
      <formula>LEN(TRIM(A6))&gt;0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AAE5A-A760-490D-B111-901160ED5EEB}">
  <sheetPr>
    <tabColor rgb="FFFFFF00"/>
    <pageSetUpPr fitToPage="1"/>
  </sheetPr>
  <dimension ref="A1:J17"/>
  <sheetViews>
    <sheetView showGridLines="0" showRowColHeaders="0" zoomScaleNormal="100" workbookViewId="0">
      <pane ySplit="4" topLeftCell="A5" activePane="bottomLeft" state="frozen"/>
      <selection activeCell="E12" sqref="E12"/>
      <selection pane="bottomLeft"/>
    </sheetView>
  </sheetViews>
  <sheetFormatPr baseColWidth="10" defaultColWidth="0" defaultRowHeight="15" zeroHeight="1" x14ac:dyDescent="0.25"/>
  <cols>
    <col min="1" max="1" width="0.85546875" style="9" customWidth="1"/>
    <col min="2" max="2" width="18.28515625" style="1" customWidth="1"/>
    <col min="3" max="8" width="17.7109375" style="1" customWidth="1"/>
    <col min="9" max="9" width="0.85546875" style="1" customWidth="1"/>
    <col min="10" max="10" width="13.7109375" hidden="1" customWidth="1"/>
    <col min="11" max="16384" width="8.85546875" hidden="1"/>
  </cols>
  <sheetData>
    <row r="1" spans="1:9" x14ac:dyDescent="0.25">
      <c r="B1" s="145"/>
      <c r="C1" s="146"/>
      <c r="D1" s="146"/>
      <c r="E1" s="104"/>
      <c r="F1" s="104"/>
      <c r="G1" s="104"/>
      <c r="H1" s="105"/>
    </row>
    <row r="2" spans="1:9" ht="30" customHeight="1" thickBot="1" x14ac:dyDescent="0.3">
      <c r="B2" s="803">
        <f>B9</f>
        <v>45271</v>
      </c>
      <c r="C2" s="804"/>
      <c r="D2" s="804"/>
      <c r="E2" s="24"/>
      <c r="F2" s="24"/>
      <c r="G2" s="24"/>
      <c r="H2" s="109"/>
    </row>
    <row r="3" spans="1:9" ht="18" customHeight="1" thickTop="1" x14ac:dyDescent="0.25">
      <c r="B3" s="79"/>
      <c r="C3" s="25"/>
      <c r="D3" s="25"/>
      <c r="E3" s="9"/>
      <c r="F3" s="9"/>
      <c r="G3" s="9"/>
      <c r="H3" s="95"/>
    </row>
    <row r="4" spans="1:9" ht="24" customHeight="1" thickBot="1" x14ac:dyDescent="0.3">
      <c r="B4" s="113" t="str">
        <f>InicioDeLaSemana</f>
        <v>LUNES</v>
      </c>
      <c r="C4" s="114" t="str">
        <f t="shared" ref="C4:H4" si="0">UPPER(TEXT(C5,"dddd"))</f>
        <v>MARTES</v>
      </c>
      <c r="D4" s="115" t="str">
        <f t="shared" si="0"/>
        <v>MIÉRCOLES</v>
      </c>
      <c r="E4" s="114" t="str">
        <f t="shared" si="0"/>
        <v>JUEVES</v>
      </c>
      <c r="F4" s="114" t="str">
        <f t="shared" si="0"/>
        <v>VIERNES</v>
      </c>
      <c r="G4" s="116" t="str">
        <f t="shared" si="0"/>
        <v>SÁBADO</v>
      </c>
      <c r="H4" s="117" t="str">
        <f t="shared" si="0"/>
        <v>DOMINGO</v>
      </c>
    </row>
    <row r="5" spans="1:9" s="19" customFormat="1" ht="19.5" customHeight="1" thickTop="1" x14ac:dyDescent="0.25">
      <c r="A5" s="17"/>
      <c r="B5" s="94">
        <f t="array" ref="B5:H5">Días+DATE(CalYear,12,1)-WEEKDAY(DATE(CalYear,12,1),(InicioDeLaSemana="Lunes")+1)+1</f>
        <v>45257</v>
      </c>
      <c r="C5" s="21">
        <v>45258</v>
      </c>
      <c r="D5" s="21">
        <v>45259</v>
      </c>
      <c r="E5" s="21">
        <v>45260</v>
      </c>
      <c r="F5" s="61">
        <v>45261</v>
      </c>
      <c r="G5" s="61">
        <v>45262</v>
      </c>
      <c r="H5" s="67">
        <v>45263</v>
      </c>
      <c r="I5" s="18"/>
    </row>
    <row r="6" spans="1:9" ht="57.95" customHeight="1" x14ac:dyDescent="0.25">
      <c r="B6" s="73"/>
      <c r="C6" s="4"/>
      <c r="D6" s="4"/>
      <c r="E6" s="4"/>
      <c r="F6" s="4"/>
      <c r="G6" s="5"/>
      <c r="H6" s="68"/>
    </row>
    <row r="7" spans="1:9" s="19" customFormat="1" ht="19.5" customHeight="1" x14ac:dyDescent="0.25">
      <c r="A7" s="17"/>
      <c r="B7" s="74">
        <f t="array" ref="B7:H7">Días+DATE(CalYear,12,1)-WEEKDAY(DATE(CalYear,12,1),(InicioDeLaSemana="Lunes")+1)+8</f>
        <v>45264</v>
      </c>
      <c r="C7" s="60">
        <v>45265</v>
      </c>
      <c r="D7" s="60">
        <v>45266</v>
      </c>
      <c r="E7" s="60">
        <v>45267</v>
      </c>
      <c r="F7" s="64">
        <v>45268</v>
      </c>
      <c r="G7" s="60">
        <v>45269</v>
      </c>
      <c r="H7" s="65">
        <v>45270</v>
      </c>
      <c r="I7" s="18"/>
    </row>
    <row r="8" spans="1:9" ht="57.95" customHeight="1" x14ac:dyDescent="0.25">
      <c r="B8" s="75"/>
      <c r="C8" s="2"/>
      <c r="D8" s="2"/>
      <c r="E8" s="2"/>
      <c r="F8" s="2"/>
      <c r="G8" s="3"/>
      <c r="H8" s="69"/>
    </row>
    <row r="9" spans="1:9" s="19" customFormat="1" ht="19.5" customHeight="1" x14ac:dyDescent="0.25">
      <c r="A9" s="17"/>
      <c r="B9" s="76">
        <f t="array" ref="B9:H9">Días+DATE(CalYear,12,1)-WEEKDAY(DATE(CalYear,12,1),(InicioDeLaSemana="Lunes")+1)+15</f>
        <v>45271</v>
      </c>
      <c r="C9" s="59">
        <v>45272</v>
      </c>
      <c r="D9" s="59">
        <v>45273</v>
      </c>
      <c r="E9" s="59">
        <v>45274</v>
      </c>
      <c r="F9" s="59">
        <v>45275</v>
      </c>
      <c r="G9" s="59">
        <v>45276</v>
      </c>
      <c r="H9" s="70">
        <v>45277</v>
      </c>
      <c r="I9" s="18"/>
    </row>
    <row r="10" spans="1:9" ht="57.95" customHeight="1" x14ac:dyDescent="0.25">
      <c r="B10" s="77"/>
      <c r="C10" s="6"/>
      <c r="D10" s="6"/>
      <c r="E10" s="6"/>
      <c r="F10" s="6"/>
      <c r="G10" s="7"/>
      <c r="H10" s="71"/>
    </row>
    <row r="11" spans="1:9" s="19" customFormat="1" ht="19.5" customHeight="1" x14ac:dyDescent="0.25">
      <c r="A11" s="17"/>
      <c r="B11" s="74">
        <f t="array" ref="B11:H11">Días+DATE(CalYear,12,1)-WEEKDAY(DATE(CalYear,12,1),(InicioDeLaSemana="Lunes")+1)+22</f>
        <v>45278</v>
      </c>
      <c r="C11" s="60">
        <v>45279</v>
      </c>
      <c r="D11" s="60">
        <v>45280</v>
      </c>
      <c r="E11" s="60">
        <v>45281</v>
      </c>
      <c r="F11" s="60">
        <v>45282</v>
      </c>
      <c r="G11" s="60">
        <v>45283</v>
      </c>
      <c r="H11" s="65">
        <v>45284</v>
      </c>
      <c r="I11" s="18"/>
    </row>
    <row r="12" spans="1:9" ht="57.95" customHeight="1" x14ac:dyDescent="0.25">
      <c r="B12" s="75"/>
      <c r="C12" s="2"/>
      <c r="D12" s="2"/>
      <c r="E12" s="2"/>
      <c r="F12" s="2"/>
      <c r="G12" s="3"/>
      <c r="H12" s="69"/>
    </row>
    <row r="13" spans="1:9" s="19" customFormat="1" ht="19.5" customHeight="1" x14ac:dyDescent="0.25">
      <c r="A13" s="17"/>
      <c r="B13" s="107">
        <f t="array" ref="B13:H13">Días+DATE(CalYear,12,1)-WEEKDAY(DATE(CalYear,12,1),(InicioDeLaSemana="Lunes")+1)+29</f>
        <v>45285</v>
      </c>
      <c r="C13" s="59">
        <v>45286</v>
      </c>
      <c r="D13" s="59">
        <v>45287</v>
      </c>
      <c r="E13" s="59">
        <v>45288</v>
      </c>
      <c r="F13" s="59">
        <v>45289</v>
      </c>
      <c r="G13" s="59">
        <v>45290</v>
      </c>
      <c r="H13" s="70">
        <v>45291</v>
      </c>
      <c r="I13" s="18"/>
    </row>
    <row r="14" spans="1:9" ht="57.95" customHeight="1" x14ac:dyDescent="0.25">
      <c r="B14" s="77"/>
      <c r="C14" s="6"/>
      <c r="D14" s="6"/>
      <c r="E14" s="6"/>
      <c r="F14" s="6"/>
      <c r="G14" s="7"/>
      <c r="H14" s="71"/>
    </row>
    <row r="15" spans="1:9" ht="19.5" customHeight="1" x14ac:dyDescent="0.25">
      <c r="B15" s="78">
        <f t="array" ref="B15:C15">Días+DATE(CalYear,12,1)-WEEKDAY(DATE(CalYear,12,1),(InicioDeLaSemana="Lunes")+1)+36</f>
        <v>45292</v>
      </c>
      <c r="C15" s="20">
        <v>45293</v>
      </c>
      <c r="D15" s="805" t="s">
        <v>44</v>
      </c>
      <c r="E15" s="805"/>
      <c r="F15" s="805"/>
      <c r="G15" s="805"/>
      <c r="H15" s="806"/>
    </row>
    <row r="16" spans="1:9" ht="57.95" customHeight="1" x14ac:dyDescent="0.25">
      <c r="B16" s="75"/>
      <c r="C16" s="2"/>
      <c r="D16" s="812"/>
      <c r="E16" s="812"/>
      <c r="F16" s="812"/>
      <c r="G16" s="812"/>
      <c r="H16" s="813"/>
    </row>
    <row r="17" spans="2:8" x14ac:dyDescent="0.25">
      <c r="B17" s="814"/>
      <c r="C17" s="815"/>
      <c r="D17" s="815"/>
      <c r="E17" s="815"/>
      <c r="F17" s="815"/>
      <c r="G17" s="815"/>
      <c r="H17" s="816"/>
    </row>
  </sheetData>
  <mergeCells count="4">
    <mergeCell ref="B2:D2"/>
    <mergeCell ref="D15:H15"/>
    <mergeCell ref="D16:H16"/>
    <mergeCell ref="B17:H17"/>
  </mergeCells>
  <conditionalFormatting sqref="B13:H13 B15:C15">
    <cfRule type="expression" dxfId="3" priority="4">
      <formula>AND(DAY(B13)&gt;=1,DAY(B13)&lt;=15)</formula>
    </cfRule>
  </conditionalFormatting>
  <conditionalFormatting sqref="B5:G5">
    <cfRule type="expression" dxfId="2" priority="3">
      <formula>DAY(B5)&gt;8</formula>
    </cfRule>
  </conditionalFormatting>
  <conditionalFormatting sqref="B5:H16">
    <cfRule type="expression" dxfId="1" priority="2">
      <formula>B5=TODAY()</formula>
    </cfRule>
  </conditionalFormatting>
  <conditionalFormatting sqref="A6:XFD6 A8:XFD8 A10:XFD10 A12:XFD12 A14:XFD14">
    <cfRule type="notContainsBlanks" dxfId="0" priority="1">
      <formula>LEN(TRIM(A6))&gt;0</formula>
    </cfRule>
  </conditionalFormatting>
  <printOptions horizontalCentered="1"/>
  <pageMargins left="0.4" right="0.4" top="0.4" bottom="0.4" header="0.3" footer="0.3"/>
  <pageSetup paperSize="9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4FEAA-AE8C-4A85-85F3-FB53F343D374}">
  <sheetPr>
    <tabColor rgb="FFFFFF00"/>
  </sheetPr>
  <dimension ref="A1:O33"/>
  <sheetViews>
    <sheetView showRowColHeaders="0" workbookViewId="0"/>
  </sheetViews>
  <sheetFormatPr baseColWidth="10" defaultColWidth="0" defaultRowHeight="15" zeroHeight="1" x14ac:dyDescent="0.25"/>
  <cols>
    <col min="1" max="14" width="11.42578125" customWidth="1"/>
    <col min="15" max="15" width="6.7109375" customWidth="1"/>
    <col min="16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ht="13.5" customHeight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D51E0-062E-4F34-91EA-020E9DE827AC}">
  <dimension ref="A1:M29"/>
  <sheetViews>
    <sheetView showGridLines="0" showRowColHeaders="0" zoomScaleNormal="100" workbookViewId="0">
      <selection activeCell="B10" sqref="B10:C10"/>
    </sheetView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0.7109375" customWidth="1"/>
    <col min="7" max="7" width="0.85546875" style="10" customWidth="1"/>
    <col min="8" max="8" width="13.7109375" customWidth="1"/>
    <col min="9" max="9" width="20.7109375" customWidth="1"/>
    <col min="10" max="10" width="0.85546875" customWidth="1"/>
    <col min="11" max="11" width="13.7109375" customWidth="1"/>
    <col min="12" max="12" width="20.7109375" customWidth="1"/>
    <col min="13" max="13" width="0.85546875" customWidth="1"/>
    <col min="14" max="16384" width="11.42578125" hidden="1"/>
  </cols>
  <sheetData>
    <row r="1" spans="2:12" ht="28.5" customHeight="1" x14ac:dyDescent="0.25"/>
    <row r="2" spans="2:12" ht="15" customHeight="1" x14ac:dyDescent="0.25">
      <c r="B2" s="546"/>
      <c r="C2" s="546"/>
    </row>
    <row r="3" spans="2:12" ht="15.75" x14ac:dyDescent="0.25">
      <c r="B3" s="546"/>
      <c r="C3" s="546"/>
      <c r="E3" s="562" t="s">
        <v>184</v>
      </c>
      <c r="F3" s="562"/>
      <c r="G3" s="562"/>
      <c r="H3" s="562"/>
      <c r="I3" s="562"/>
      <c r="J3" s="562"/>
      <c r="K3" s="562"/>
      <c r="L3" s="562"/>
    </row>
    <row r="4" spans="2:12" ht="15.75" x14ac:dyDescent="0.25">
      <c r="B4" s="546"/>
      <c r="C4" s="546"/>
      <c r="E4" s="184" t="s">
        <v>194</v>
      </c>
      <c r="F4" s="183"/>
      <c r="G4" s="183"/>
      <c r="H4" s="183"/>
      <c r="I4" s="183"/>
      <c r="J4" s="183"/>
      <c r="K4" s="183"/>
      <c r="L4" s="183"/>
    </row>
    <row r="5" spans="2:12" ht="15.75" customHeight="1" x14ac:dyDescent="0.25">
      <c r="B5" s="546"/>
      <c r="C5" s="546"/>
    </row>
    <row r="6" spans="2:12" ht="15" customHeight="1" x14ac:dyDescent="0.25">
      <c r="B6" s="546"/>
      <c r="C6" s="546"/>
      <c r="E6" s="147" t="s">
        <v>45</v>
      </c>
      <c r="F6" s="147"/>
      <c r="G6" s="147"/>
      <c r="H6" s="147"/>
      <c r="I6" s="147"/>
      <c r="J6" s="147"/>
      <c r="K6" s="147"/>
      <c r="L6" s="147"/>
    </row>
    <row r="7" spans="2:12" x14ac:dyDescent="0.25">
      <c r="B7" s="546"/>
      <c r="C7" s="546"/>
      <c r="E7" s="148" t="s">
        <v>46</v>
      </c>
    </row>
    <row r="8" spans="2:12" ht="15" customHeight="1" x14ac:dyDescent="0.25">
      <c r="B8" s="563" t="s">
        <v>47</v>
      </c>
      <c r="C8" s="563"/>
      <c r="E8" s="564" t="s">
        <v>48</v>
      </c>
      <c r="F8" s="565"/>
      <c r="G8" s="149"/>
      <c r="H8" s="564" t="s">
        <v>49</v>
      </c>
      <c r="I8" s="565"/>
      <c r="J8" s="150"/>
      <c r="K8" s="564" t="s">
        <v>50</v>
      </c>
      <c r="L8" s="565"/>
    </row>
    <row r="9" spans="2:12" x14ac:dyDescent="0.25">
      <c r="B9" s="563"/>
      <c r="C9" s="563"/>
      <c r="E9" s="566"/>
      <c r="F9" s="567"/>
      <c r="G9" s="149"/>
      <c r="H9" s="566"/>
      <c r="I9" s="567"/>
      <c r="J9" s="150"/>
      <c r="K9" s="566"/>
      <c r="L9" s="567"/>
    </row>
    <row r="10" spans="2:12" x14ac:dyDescent="0.25">
      <c r="B10" s="555" t="s">
        <v>67</v>
      </c>
      <c r="C10" s="556"/>
      <c r="E10" s="568"/>
      <c r="F10" s="569"/>
      <c r="G10" s="149"/>
      <c r="H10" s="568"/>
      <c r="I10" s="569"/>
      <c r="J10" s="150"/>
      <c r="K10" s="568"/>
      <c r="L10" s="569"/>
    </row>
    <row r="11" spans="2:12" x14ac:dyDescent="0.25">
      <c r="B11" s="173"/>
      <c r="C11" s="172" t="s">
        <v>51</v>
      </c>
    </row>
    <row r="12" spans="2:12" ht="15" customHeight="1" x14ac:dyDescent="0.25">
      <c r="B12" s="557" t="s">
        <v>52</v>
      </c>
      <c r="C12" s="159" t="s">
        <v>53</v>
      </c>
      <c r="E12" s="559" t="s">
        <v>54</v>
      </c>
      <c r="F12" s="549" t="s">
        <v>55</v>
      </c>
      <c r="G12" s="149"/>
      <c r="H12" s="559" t="s">
        <v>54</v>
      </c>
      <c r="I12" s="549" t="s">
        <v>55</v>
      </c>
      <c r="J12" s="150"/>
      <c r="K12" s="559" t="s">
        <v>54</v>
      </c>
      <c r="L12" s="549" t="s">
        <v>55</v>
      </c>
    </row>
    <row r="13" spans="2:12" x14ac:dyDescent="0.25">
      <c r="B13" s="558"/>
      <c r="C13" s="160" t="s">
        <v>56</v>
      </c>
      <c r="E13" s="560"/>
      <c r="F13" s="550"/>
      <c r="G13" s="149"/>
      <c r="H13" s="560"/>
      <c r="I13" s="550"/>
      <c r="J13" s="150"/>
      <c r="K13" s="560"/>
      <c r="L13" s="550"/>
    </row>
    <row r="14" spans="2:12" x14ac:dyDescent="0.25">
      <c r="B14" s="558"/>
      <c r="C14" s="160" t="s">
        <v>57</v>
      </c>
      <c r="E14" s="151">
        <v>1</v>
      </c>
      <c r="F14" s="152">
        <v>44964</v>
      </c>
      <c r="H14" s="151">
        <v>1</v>
      </c>
      <c r="I14" s="152">
        <v>45026</v>
      </c>
      <c r="K14" s="151">
        <v>1</v>
      </c>
      <c r="L14" s="152">
        <v>45084</v>
      </c>
    </row>
    <row r="15" spans="2:12" x14ac:dyDescent="0.25">
      <c r="B15" s="558"/>
      <c r="C15" s="160" t="s">
        <v>58</v>
      </c>
      <c r="E15" s="153">
        <v>2</v>
      </c>
      <c r="F15" s="154">
        <v>44965</v>
      </c>
      <c r="H15" s="153">
        <v>2</v>
      </c>
      <c r="I15" s="154">
        <v>45027</v>
      </c>
      <c r="K15" s="153">
        <v>2</v>
      </c>
      <c r="L15" s="154">
        <v>45085</v>
      </c>
    </row>
    <row r="16" spans="2:12" x14ac:dyDescent="0.25">
      <c r="B16" s="558"/>
      <c r="C16" s="160" t="s">
        <v>59</v>
      </c>
      <c r="E16" s="153">
        <v>3</v>
      </c>
      <c r="F16" s="154">
        <v>44966</v>
      </c>
      <c r="H16" s="153">
        <v>3</v>
      </c>
      <c r="I16" s="154">
        <v>45028</v>
      </c>
      <c r="K16" s="153">
        <v>3</v>
      </c>
      <c r="L16" s="154">
        <v>45086</v>
      </c>
    </row>
    <row r="17" spans="2:12" x14ac:dyDescent="0.25">
      <c r="B17" s="558"/>
      <c r="C17" s="160" t="s">
        <v>60</v>
      </c>
      <c r="E17" s="153">
        <v>4</v>
      </c>
      <c r="F17" s="154">
        <v>44967</v>
      </c>
      <c r="H17" s="153">
        <v>4</v>
      </c>
      <c r="I17" s="154">
        <v>45029</v>
      </c>
      <c r="K17" s="153">
        <v>4</v>
      </c>
      <c r="L17" s="154">
        <v>45090</v>
      </c>
    </row>
    <row r="18" spans="2:12" x14ac:dyDescent="0.25">
      <c r="B18" s="558"/>
      <c r="C18" s="160" t="s">
        <v>61</v>
      </c>
      <c r="E18" s="153">
        <v>5</v>
      </c>
      <c r="F18" s="154">
        <v>44970</v>
      </c>
      <c r="H18" s="153">
        <v>5</v>
      </c>
      <c r="I18" s="154">
        <v>45030</v>
      </c>
      <c r="K18" s="153">
        <v>5</v>
      </c>
      <c r="L18" s="154">
        <v>45091</v>
      </c>
    </row>
    <row r="19" spans="2:12" x14ac:dyDescent="0.25">
      <c r="B19" s="558"/>
      <c r="C19" s="160" t="s">
        <v>62</v>
      </c>
      <c r="E19" s="153">
        <v>6</v>
      </c>
      <c r="F19" s="154">
        <v>44971</v>
      </c>
      <c r="H19" s="153">
        <v>6</v>
      </c>
      <c r="I19" s="154">
        <v>45033</v>
      </c>
      <c r="K19" s="153">
        <v>6</v>
      </c>
      <c r="L19" s="154">
        <v>45092</v>
      </c>
    </row>
    <row r="20" spans="2:12" x14ac:dyDescent="0.25">
      <c r="B20" s="558"/>
      <c r="C20" s="160" t="s">
        <v>63</v>
      </c>
      <c r="E20" s="153">
        <v>7</v>
      </c>
      <c r="F20" s="154">
        <v>44972</v>
      </c>
      <c r="H20" s="153">
        <v>7</v>
      </c>
      <c r="I20" s="154">
        <v>45034</v>
      </c>
      <c r="K20" s="153">
        <v>7</v>
      </c>
      <c r="L20" s="154">
        <v>45093</v>
      </c>
    </row>
    <row r="21" spans="2:12" x14ac:dyDescent="0.25">
      <c r="B21" s="558"/>
      <c r="C21" s="160" t="s">
        <v>64</v>
      </c>
      <c r="E21" s="153">
        <v>8</v>
      </c>
      <c r="F21" s="154">
        <v>44973</v>
      </c>
      <c r="H21" s="153">
        <v>8</v>
      </c>
      <c r="I21" s="154">
        <v>45035</v>
      </c>
      <c r="K21" s="153">
        <v>8</v>
      </c>
      <c r="L21" s="154">
        <v>45097</v>
      </c>
    </row>
    <row r="22" spans="2:12" x14ac:dyDescent="0.25">
      <c r="B22" s="558"/>
      <c r="C22" s="160" t="s">
        <v>65</v>
      </c>
      <c r="E22" s="153">
        <v>9</v>
      </c>
      <c r="F22" s="154">
        <v>44974</v>
      </c>
      <c r="H22" s="153">
        <v>9</v>
      </c>
      <c r="I22" s="154">
        <v>45036</v>
      </c>
      <c r="K22" s="153">
        <v>9</v>
      </c>
      <c r="L22" s="154">
        <v>45098</v>
      </c>
    </row>
    <row r="23" spans="2:12" ht="15.75" thickBot="1" x14ac:dyDescent="0.3">
      <c r="B23" s="558"/>
      <c r="C23" s="160" t="s">
        <v>66</v>
      </c>
      <c r="E23" s="544">
        <v>0</v>
      </c>
      <c r="F23" s="545">
        <v>44977</v>
      </c>
      <c r="H23" s="544">
        <v>0</v>
      </c>
      <c r="I23" s="545">
        <v>45037</v>
      </c>
      <c r="K23" s="544">
        <v>0</v>
      </c>
      <c r="L23" s="545">
        <v>45099</v>
      </c>
    </row>
    <row r="24" spans="2:12" ht="69.95" customHeight="1" thickTop="1" thickBot="1" x14ac:dyDescent="0.3">
      <c r="B24" s="561"/>
      <c r="C24" s="561"/>
      <c r="E24" s="551" t="s">
        <v>681</v>
      </c>
      <c r="F24" s="551"/>
      <c r="G24" s="551"/>
      <c r="H24" s="551"/>
      <c r="I24" s="551"/>
      <c r="J24" s="551"/>
      <c r="K24" s="551"/>
      <c r="L24" s="551"/>
    </row>
    <row r="25" spans="2:12" ht="3" customHeight="1" thickTop="1" thickBot="1" x14ac:dyDescent="0.3">
      <c r="B25" s="561"/>
      <c r="C25" s="561"/>
    </row>
    <row r="26" spans="2:12" ht="31.5" customHeight="1" thickTop="1" thickBot="1" x14ac:dyDescent="0.3">
      <c r="B26" s="561"/>
      <c r="C26" s="561"/>
      <c r="E26" s="552" t="s">
        <v>682</v>
      </c>
      <c r="F26" s="553"/>
      <c r="G26" s="553"/>
      <c r="H26" s="553"/>
      <c r="I26" s="553"/>
      <c r="J26" s="553"/>
      <c r="K26" s="553"/>
      <c r="L26" s="554"/>
    </row>
    <row r="27" spans="2:12" ht="3" customHeight="1" thickTop="1" thickBot="1" x14ac:dyDescent="0.3">
      <c r="B27" s="561"/>
      <c r="C27" s="561"/>
    </row>
    <row r="28" spans="2:12" ht="40.5" customHeight="1" thickTop="1" thickBot="1" x14ac:dyDescent="0.3">
      <c r="B28" s="561"/>
      <c r="C28" s="561"/>
      <c r="E28" s="552" t="s">
        <v>683</v>
      </c>
      <c r="F28" s="553"/>
      <c r="G28" s="553"/>
      <c r="H28" s="553"/>
      <c r="I28" s="553"/>
      <c r="J28" s="553"/>
      <c r="K28" s="553"/>
      <c r="L28" s="554"/>
    </row>
    <row r="29" spans="2:12" ht="3" customHeight="1" thickTop="1" x14ac:dyDescent="0.25"/>
  </sheetData>
  <sheetProtection algorithmName="SHA-512" hashValue="+9BK1Y3mTCtd4HqKgIXNm5wmMAk/VMKuNpAFSfEkDkh4wsjM1bk9Iv8+MSgs8sCB/+rUzC++XGfgvn0vXFzo4A==" saltValue="BTwUxVOzU9RKZ/u8lsUyQg==" spinCount="100000" sheet="1" objects="1" scenarios="1"/>
  <protectedRanges>
    <protectedRange algorithmName="SHA-512" hashValue="VlrJ194+u3sYR3dBboQTLlaLgxehNWU07jPyKIKmhhLsa85EES44KwU1oaFWUnKJOZezeQCK7ndRJ5yOhpHeuQ==" saltValue="VwMV/IZwCETzX8UZSItVBQ==" spinCount="100000" sqref="E8:L23" name="GrandesContribuyentes"/>
  </protectedRanges>
  <mergeCells count="18">
    <mergeCell ref="B2:C7"/>
    <mergeCell ref="E3:L3"/>
    <mergeCell ref="B8:C9"/>
    <mergeCell ref="E8:F10"/>
    <mergeCell ref="H8:I10"/>
    <mergeCell ref="K8:L10"/>
    <mergeCell ref="L12:L13"/>
    <mergeCell ref="E24:L24"/>
    <mergeCell ref="E26:L26"/>
    <mergeCell ref="E28:L28"/>
    <mergeCell ref="B10:C10"/>
    <mergeCell ref="B12:B23"/>
    <mergeCell ref="E12:E13"/>
    <mergeCell ref="F12:F13"/>
    <mergeCell ref="H12:H13"/>
    <mergeCell ref="I12:I13"/>
    <mergeCell ref="K12:K13"/>
    <mergeCell ref="B24:C28"/>
  </mergeCells>
  <hyperlinks>
    <hyperlink ref="B12:B23" location="Anual!A1" display="Calendario" xr:uid="{EF73146E-27B8-4BC3-B864-687D192A5AE1}"/>
    <hyperlink ref="C12" location="Enero!A1" display="Enero" xr:uid="{4E7362EF-DC60-4CDC-9B71-945EA2ADBCEC}"/>
    <hyperlink ref="C13" location="Febrero!A1" display="Febrero" xr:uid="{BB57D3CF-FFA3-400B-B1B7-5AD097C97411}"/>
    <hyperlink ref="C14" location="Marzo!A1" display="Marzo" xr:uid="{2066A49F-C50A-46FD-A74C-4A10BC4A4826}"/>
    <hyperlink ref="C15" location="Abril!A1" display="Abril" xr:uid="{8CAFFEAC-429A-4F9B-8371-25637FA77132}"/>
    <hyperlink ref="C16" location="Mayo!A1" display="Mayo" xr:uid="{C4381411-F3B6-49AB-A0EC-5E9D5991E70A}"/>
    <hyperlink ref="C17" location="Junio!A1" display="Junio" xr:uid="{9D4682D2-0AA1-424C-A90F-943630D761A5}"/>
    <hyperlink ref="C18" location="Julio!A1" display="Julio" xr:uid="{596516C8-9344-4322-A245-754CC71EB177}"/>
    <hyperlink ref="C19" location="Agosto!A1" display="Agosto" xr:uid="{E89CA773-16E5-45F9-A2EF-CB75DE707825}"/>
    <hyperlink ref="C20" location="Septiembre!A1" display="Septiembre" xr:uid="{8CEFBE13-CC76-41CF-A6A5-AB328B851197}"/>
    <hyperlink ref="C21" location="Octubre!A1" display="Octubre" xr:uid="{68D14C85-2174-4C6A-A796-0CCEC6731F48}"/>
    <hyperlink ref="C22" location="Noviembre!A1" display="Noviembre" xr:uid="{9131805E-A7F7-4E2B-B54C-3C9D486499C9}"/>
    <hyperlink ref="C23" location="Diciembre!A1" display="Diciembre" xr:uid="{45E468D3-8727-4E93-A9C4-BDC61E4A8F11}"/>
  </hyperlinks>
  <pageMargins left="0.7" right="0.7" top="0.75" bottom="0.75" header="0.3" footer="0.3"/>
  <pageSetup scale="7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8762B-F937-40B4-AD9E-D73F514296FE}">
  <dimension ref="A1:N24"/>
  <sheetViews>
    <sheetView showGridLines="0" workbookViewId="0">
      <selection activeCell="I22" sqref="I22"/>
    </sheetView>
  </sheetViews>
  <sheetFormatPr baseColWidth="10" defaultColWidth="0" defaultRowHeight="61.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customWidth="1"/>
    <col min="8" max="8" width="13.7109375" customWidth="1"/>
    <col min="9" max="9" width="23.85546875" bestFit="1" customWidth="1"/>
    <col min="10" max="10" width="0.85546875" customWidth="1"/>
    <col min="11" max="13" width="11.42578125" hidden="1"/>
    <col min="15" max="16384" width="11.42578125" hidden="1"/>
  </cols>
  <sheetData>
    <row r="1" spans="2:9" ht="28.5" customHeight="1" x14ac:dyDescent="0.25"/>
    <row r="2" spans="2:9" ht="15" customHeight="1" x14ac:dyDescent="0.25">
      <c r="B2" s="546"/>
      <c r="C2" s="546"/>
    </row>
    <row r="3" spans="2:9" ht="15.75" x14ac:dyDescent="0.25">
      <c r="B3" s="546"/>
      <c r="C3" s="546"/>
      <c r="E3" s="562" t="s">
        <v>749</v>
      </c>
      <c r="F3" s="562"/>
      <c r="G3" s="562"/>
      <c r="H3" s="562"/>
      <c r="I3" s="562"/>
    </row>
    <row r="4" spans="2:9" ht="15" x14ac:dyDescent="0.25">
      <c r="B4" s="546"/>
      <c r="C4" s="546"/>
    </row>
    <row r="5" spans="2:9" ht="27.75" customHeight="1" x14ac:dyDescent="0.25">
      <c r="B5" s="546"/>
      <c r="C5" s="546"/>
      <c r="E5" s="825" t="s">
        <v>750</v>
      </c>
      <c r="F5" s="825"/>
      <c r="G5" s="825"/>
      <c r="H5" s="825"/>
      <c r="I5" s="825"/>
    </row>
    <row r="6" spans="2:9" ht="15" x14ac:dyDescent="0.25">
      <c r="B6" s="546"/>
      <c r="C6" s="546"/>
    </row>
    <row r="7" spans="2:9" ht="15" customHeight="1" x14ac:dyDescent="0.25">
      <c r="B7" s="563" t="s">
        <v>47</v>
      </c>
      <c r="C7" s="563"/>
      <c r="E7" s="564" t="s">
        <v>751</v>
      </c>
      <c r="F7" s="565"/>
      <c r="G7" s="150"/>
      <c r="H7" s="564" t="s">
        <v>752</v>
      </c>
      <c r="I7" s="565"/>
    </row>
    <row r="8" spans="2:9" ht="15" x14ac:dyDescent="0.25">
      <c r="B8" s="563"/>
      <c r="C8" s="563"/>
      <c r="E8" s="566"/>
      <c r="F8" s="567"/>
      <c r="G8" s="150"/>
      <c r="H8" s="566"/>
      <c r="I8" s="567"/>
    </row>
    <row r="9" spans="2:9" ht="15" x14ac:dyDescent="0.25">
      <c r="B9" s="555" t="s">
        <v>67</v>
      </c>
      <c r="C9" s="556"/>
      <c r="E9" s="568"/>
      <c r="F9" s="569"/>
      <c r="G9" s="150"/>
      <c r="H9" s="568"/>
      <c r="I9" s="569"/>
    </row>
    <row r="10" spans="2:9" ht="15" x14ac:dyDescent="0.25">
      <c r="B10" s="173"/>
      <c r="C10" s="172" t="s">
        <v>51</v>
      </c>
    </row>
    <row r="11" spans="2:9" ht="15" customHeight="1" x14ac:dyDescent="0.25">
      <c r="B11" s="557" t="s">
        <v>52</v>
      </c>
      <c r="C11" s="159" t="s">
        <v>53</v>
      </c>
      <c r="E11" s="559" t="s">
        <v>54</v>
      </c>
      <c r="F11" s="549" t="s">
        <v>55</v>
      </c>
      <c r="G11" s="150"/>
      <c r="H11" s="559" t="s">
        <v>54</v>
      </c>
      <c r="I11" s="549" t="s">
        <v>55</v>
      </c>
    </row>
    <row r="12" spans="2:9" ht="15" x14ac:dyDescent="0.25">
      <c r="B12" s="558"/>
      <c r="C12" s="160" t="s">
        <v>56</v>
      </c>
      <c r="E12" s="560"/>
      <c r="F12" s="550"/>
      <c r="G12" s="150"/>
      <c r="H12" s="560"/>
      <c r="I12" s="550"/>
    </row>
    <row r="13" spans="2:9" ht="15" x14ac:dyDescent="0.25">
      <c r="B13" s="558"/>
      <c r="C13" s="160" t="s">
        <v>57</v>
      </c>
      <c r="E13" s="151">
        <v>1</v>
      </c>
      <c r="F13" s="152">
        <v>45026</v>
      </c>
      <c r="H13" s="151">
        <v>1</v>
      </c>
      <c r="I13" s="152">
        <v>45084</v>
      </c>
    </row>
    <row r="14" spans="2:9" ht="15" x14ac:dyDescent="0.25">
      <c r="B14" s="558"/>
      <c r="C14" s="160" t="s">
        <v>58</v>
      </c>
      <c r="E14" s="153">
        <v>2</v>
      </c>
      <c r="F14" s="154">
        <v>45027</v>
      </c>
      <c r="H14" s="153">
        <v>2</v>
      </c>
      <c r="I14" s="154">
        <v>45085</v>
      </c>
    </row>
    <row r="15" spans="2:9" ht="15" x14ac:dyDescent="0.25">
      <c r="B15" s="558"/>
      <c r="C15" s="160" t="s">
        <v>59</v>
      </c>
      <c r="E15" s="153">
        <v>3</v>
      </c>
      <c r="F15" s="154">
        <v>45028</v>
      </c>
      <c r="H15" s="153">
        <v>3</v>
      </c>
      <c r="I15" s="154">
        <v>45086</v>
      </c>
    </row>
    <row r="16" spans="2:9" ht="15" x14ac:dyDescent="0.25">
      <c r="B16" s="558"/>
      <c r="C16" s="160" t="s">
        <v>60</v>
      </c>
      <c r="E16" s="153">
        <v>4</v>
      </c>
      <c r="F16" s="154">
        <v>45029</v>
      </c>
      <c r="H16" s="153">
        <v>4</v>
      </c>
      <c r="I16" s="154">
        <v>45090</v>
      </c>
    </row>
    <row r="17" spans="2:9" ht="15" x14ac:dyDescent="0.25">
      <c r="B17" s="558"/>
      <c r="C17" s="160" t="s">
        <v>61</v>
      </c>
      <c r="E17" s="153">
        <v>5</v>
      </c>
      <c r="F17" s="154">
        <v>45030</v>
      </c>
      <c r="H17" s="153">
        <v>5</v>
      </c>
      <c r="I17" s="154">
        <v>45091</v>
      </c>
    </row>
    <row r="18" spans="2:9" ht="15" x14ac:dyDescent="0.25">
      <c r="B18" s="558"/>
      <c r="C18" s="160" t="s">
        <v>62</v>
      </c>
      <c r="E18" s="153">
        <v>6</v>
      </c>
      <c r="F18" s="154">
        <v>45033</v>
      </c>
      <c r="H18" s="153">
        <v>6</v>
      </c>
      <c r="I18" s="154">
        <v>45092</v>
      </c>
    </row>
    <row r="19" spans="2:9" ht="15" x14ac:dyDescent="0.25">
      <c r="B19" s="558"/>
      <c r="C19" s="160" t="s">
        <v>63</v>
      </c>
      <c r="E19" s="153">
        <v>7</v>
      </c>
      <c r="F19" s="154">
        <v>45034</v>
      </c>
      <c r="H19" s="153">
        <v>7</v>
      </c>
      <c r="I19" s="154">
        <v>45093</v>
      </c>
    </row>
    <row r="20" spans="2:9" ht="15" x14ac:dyDescent="0.25">
      <c r="B20" s="558"/>
      <c r="C20" s="160" t="s">
        <v>64</v>
      </c>
      <c r="E20" s="153">
        <v>8</v>
      </c>
      <c r="F20" s="154">
        <v>45035</v>
      </c>
      <c r="H20" s="153">
        <v>8</v>
      </c>
      <c r="I20" s="154">
        <v>45097</v>
      </c>
    </row>
    <row r="21" spans="2:9" ht="15" x14ac:dyDescent="0.25">
      <c r="B21" s="558"/>
      <c r="C21" s="160" t="s">
        <v>65</v>
      </c>
      <c r="E21" s="153">
        <v>9</v>
      </c>
      <c r="F21" s="154">
        <v>45036</v>
      </c>
      <c r="H21" s="153">
        <v>9</v>
      </c>
      <c r="I21" s="154">
        <v>45098</v>
      </c>
    </row>
    <row r="22" spans="2:9" ht="15" customHeight="1" x14ac:dyDescent="0.25">
      <c r="B22" s="576"/>
      <c r="C22" s="161" t="s">
        <v>66</v>
      </c>
      <c r="E22" s="155">
        <v>0</v>
      </c>
      <c r="F22" s="156">
        <v>45037</v>
      </c>
      <c r="G22" s="158"/>
      <c r="H22" s="155">
        <v>0</v>
      </c>
      <c r="I22" s="156">
        <v>44948</v>
      </c>
    </row>
    <row r="23" spans="2:9" ht="4.5" customHeight="1" x14ac:dyDescent="0.25"/>
    <row r="24" spans="2:9" ht="61.5" hidden="1" customHeight="1" x14ac:dyDescent="0.25">
      <c r="B24" s="823"/>
      <c r="C24" s="823"/>
    </row>
  </sheetData>
  <sheetProtection algorithmName="SHA-512" hashValue="FTEAehAZeOShTTyv/dYBh4qyrh6TrNFq3bowIopdo7p/IMt9oaBZJlP8aBgeS4E1BSMOY6T44G2NRELf2X387g==" saltValue="idBhdZfAs9vcRtyUbi5mtw==" spinCount="100000" sheet="1" objects="1" scenarios="1"/>
  <protectedRanges>
    <protectedRange algorithmName="SHA-512" hashValue="9sWIfV6Gdk5RpozfR1Fz1ENDaxlbZJh1OtoI/Vv3iTvca15gTv5PSx1DEkChW+PZqZIhtJw0TI+cRLRtbO+22g==" saltValue="sLw9wKjmB6yZdmhvGlu0dg==" spinCount="100000" sqref="E11:I22" name="Anticposobretasa"/>
  </protectedRanges>
  <mergeCells count="12">
    <mergeCell ref="B11:B22"/>
    <mergeCell ref="E11:E12"/>
    <mergeCell ref="F11:F12"/>
    <mergeCell ref="H11:H12"/>
    <mergeCell ref="I11:I12"/>
    <mergeCell ref="E5:I5"/>
    <mergeCell ref="B2:C6"/>
    <mergeCell ref="E3:I3"/>
    <mergeCell ref="B7:C8"/>
    <mergeCell ref="E7:F9"/>
    <mergeCell ref="H7:I9"/>
    <mergeCell ref="B9:C9"/>
  </mergeCells>
  <hyperlinks>
    <hyperlink ref="B11:B22" location="Anual!A1" display="Calendario" xr:uid="{6267B1FE-5779-4373-81AB-295ED90AF2DD}"/>
    <hyperlink ref="C11" location="Enero!A1" display="Enero" xr:uid="{AA888233-FFF7-4AA0-BDCC-0190D893FB21}"/>
    <hyperlink ref="C12" location="Febrero!A1" display="Febrero" xr:uid="{6AE4D0B6-37E1-43C9-A1C3-25056323C1FC}"/>
    <hyperlink ref="C13" location="Marzo!A1" display="Marzo" xr:uid="{48359921-A0DC-45ED-9507-4F150B714258}"/>
    <hyperlink ref="C14" location="Abril!A1" display="Abril" xr:uid="{9B38B1FD-E6DE-4BA8-993E-628A03922380}"/>
    <hyperlink ref="C15" location="Mayo!A1" display="Mayo" xr:uid="{C7F89105-A86A-456C-B5EF-56028E35A503}"/>
    <hyperlink ref="C16" location="Junio!A1" display="Junio" xr:uid="{DA64BD6F-7257-4B44-AF80-AB50BBC99DD8}"/>
    <hyperlink ref="C17" location="Julio!A1" display="Julio" xr:uid="{6AD2D530-AD60-435E-B551-D32B5251EC5C}"/>
    <hyperlink ref="C18" location="Agosto!A1" display="Agosto" xr:uid="{5C59252D-28B0-4A53-AA8D-AC762ADFC9E4}"/>
    <hyperlink ref="C19" location="Septiembre!A1" display="Septiembre" xr:uid="{9602B32B-FE8D-45C8-AB87-E97B60B523C3}"/>
    <hyperlink ref="C20" location="Octubre!A1" display="Octubre" xr:uid="{73F36F45-F8CE-4827-9EAD-D4D5D632FE81}"/>
    <hyperlink ref="C21" location="Noviembre!A1" display="Noviembre" xr:uid="{E4C57D79-D083-4511-B03E-DC1959F06D9D}"/>
    <hyperlink ref="C22" location="Diciembre!A1" display="Diciembre" xr:uid="{FE768164-A6CD-4E71-BB84-AEBA1D9F322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E83C1-78FE-44BA-82A0-EBD273ED51F9}">
  <dimension ref="A1:J45"/>
  <sheetViews>
    <sheetView showGridLines="0" showRowColHeaders="0" zoomScaleNormal="100" workbookViewId="0"/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0.7109375" customWidth="1"/>
    <col min="7" max="7" width="0.85546875" style="10" customWidth="1"/>
    <col min="8" max="8" width="13.7109375" customWidth="1"/>
    <col min="9" max="9" width="20.7109375" customWidth="1"/>
    <col min="10" max="10" width="0.85546875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562" t="s">
        <v>184</v>
      </c>
      <c r="F3" s="562"/>
      <c r="G3" s="562"/>
      <c r="H3" s="562"/>
      <c r="I3" s="562"/>
      <c r="J3" s="562"/>
    </row>
    <row r="4" spans="2:10" ht="15.75" x14ac:dyDescent="0.25">
      <c r="B4" s="546"/>
      <c r="C4" s="546"/>
      <c r="E4" s="184" t="s">
        <v>194</v>
      </c>
      <c r="F4" s="183"/>
      <c r="G4" s="183"/>
      <c r="H4" s="183"/>
      <c r="I4" s="183"/>
      <c r="J4" s="183"/>
    </row>
    <row r="5" spans="2:10" ht="15.75" customHeight="1" x14ac:dyDescent="0.25">
      <c r="B5" s="546"/>
      <c r="C5" s="546"/>
    </row>
    <row r="6" spans="2:10" ht="15" customHeight="1" x14ac:dyDescent="0.25">
      <c r="B6" s="546"/>
      <c r="C6" s="546"/>
      <c r="E6" s="147" t="s">
        <v>72</v>
      </c>
      <c r="F6" s="147"/>
      <c r="G6" s="147"/>
      <c r="H6" s="147"/>
      <c r="I6" s="147"/>
      <c r="J6" s="147"/>
    </row>
    <row r="7" spans="2:10" x14ac:dyDescent="0.25">
      <c r="B7" s="546"/>
      <c r="C7" s="546"/>
      <c r="E7" s="148" t="s">
        <v>73</v>
      </c>
    </row>
    <row r="8" spans="2:10" ht="15" customHeight="1" x14ac:dyDescent="0.25">
      <c r="B8" s="563" t="s">
        <v>47</v>
      </c>
      <c r="C8" s="563"/>
      <c r="E8" s="564" t="s">
        <v>94</v>
      </c>
      <c r="F8" s="565"/>
      <c r="G8" s="149"/>
      <c r="H8" s="564" t="s">
        <v>95</v>
      </c>
      <c r="I8" s="565"/>
      <c r="J8" s="150"/>
    </row>
    <row r="9" spans="2:10" x14ac:dyDescent="0.25">
      <c r="B9" s="563"/>
      <c r="C9" s="563"/>
      <c r="E9" s="566"/>
      <c r="F9" s="567"/>
      <c r="G9" s="149"/>
      <c r="H9" s="566"/>
      <c r="I9" s="567"/>
      <c r="J9" s="150"/>
    </row>
    <row r="10" spans="2:10" x14ac:dyDescent="0.25">
      <c r="B10" s="555" t="s">
        <v>67</v>
      </c>
      <c r="C10" s="556"/>
      <c r="E10" s="568"/>
      <c r="F10" s="569"/>
      <c r="G10" s="149"/>
      <c r="H10" s="568"/>
      <c r="I10" s="569"/>
      <c r="J10" s="150"/>
    </row>
    <row r="11" spans="2:10" x14ac:dyDescent="0.25">
      <c r="B11" s="173"/>
      <c r="C11" s="172" t="s">
        <v>51</v>
      </c>
    </row>
    <row r="12" spans="2:10" ht="15" customHeight="1" x14ac:dyDescent="0.25">
      <c r="B12" s="557" t="s">
        <v>52</v>
      </c>
      <c r="C12" s="159" t="s">
        <v>53</v>
      </c>
      <c r="E12" s="559" t="s">
        <v>104</v>
      </c>
      <c r="F12" s="549" t="s">
        <v>55</v>
      </c>
      <c r="G12" s="168"/>
      <c r="H12" s="572" t="s">
        <v>54</v>
      </c>
      <c r="I12" s="549" t="s">
        <v>55</v>
      </c>
      <c r="J12" s="150"/>
    </row>
    <row r="13" spans="2:10" x14ac:dyDescent="0.25">
      <c r="B13" s="558"/>
      <c r="C13" s="160" t="s">
        <v>56</v>
      </c>
      <c r="E13" s="560"/>
      <c r="F13" s="550"/>
      <c r="G13" s="168"/>
      <c r="H13" s="573"/>
      <c r="I13" s="550"/>
      <c r="J13" s="150"/>
    </row>
    <row r="14" spans="2:10" x14ac:dyDescent="0.25">
      <c r="B14" s="558"/>
      <c r="C14" s="160" t="s">
        <v>57</v>
      </c>
      <c r="E14" s="151" t="s">
        <v>74</v>
      </c>
      <c r="F14" s="152">
        <v>45026</v>
      </c>
      <c r="G14" s="169"/>
      <c r="H14" s="164">
        <v>1</v>
      </c>
      <c r="I14" s="152">
        <v>45114</v>
      </c>
    </row>
    <row r="15" spans="2:10" x14ac:dyDescent="0.25">
      <c r="B15" s="558"/>
      <c r="C15" s="160" t="s">
        <v>58</v>
      </c>
      <c r="E15" s="153" t="s">
        <v>75</v>
      </c>
      <c r="F15" s="163">
        <v>45027</v>
      </c>
      <c r="G15" s="169"/>
      <c r="H15" s="165">
        <v>2</v>
      </c>
      <c r="I15" s="154">
        <v>45117</v>
      </c>
    </row>
    <row r="16" spans="2:10" x14ac:dyDescent="0.25">
      <c r="B16" s="558"/>
      <c r="C16" s="160" t="s">
        <v>59</v>
      </c>
      <c r="E16" s="153" t="s">
        <v>76</v>
      </c>
      <c r="F16" s="163">
        <v>45028</v>
      </c>
      <c r="G16" s="169"/>
      <c r="H16" s="165">
        <v>3</v>
      </c>
      <c r="I16" s="154">
        <v>45118</v>
      </c>
    </row>
    <row r="17" spans="2:10" x14ac:dyDescent="0.25">
      <c r="B17" s="558"/>
      <c r="C17" s="160" t="s">
        <v>60</v>
      </c>
      <c r="E17" s="153" t="s">
        <v>77</v>
      </c>
      <c r="F17" s="163">
        <v>45029</v>
      </c>
      <c r="G17" s="169"/>
      <c r="H17" s="165">
        <v>4</v>
      </c>
      <c r="I17" s="154">
        <v>45119</v>
      </c>
    </row>
    <row r="18" spans="2:10" x14ac:dyDescent="0.25">
      <c r="B18" s="558"/>
      <c r="C18" s="160" t="s">
        <v>61</v>
      </c>
      <c r="E18" s="153" t="s">
        <v>78</v>
      </c>
      <c r="F18" s="163">
        <v>45030</v>
      </c>
      <c r="G18" s="169"/>
      <c r="H18" s="165">
        <v>5</v>
      </c>
      <c r="I18" s="154">
        <v>45120</v>
      </c>
    </row>
    <row r="19" spans="2:10" x14ac:dyDescent="0.25">
      <c r="B19" s="558"/>
      <c r="C19" s="160" t="s">
        <v>62</v>
      </c>
      <c r="E19" s="153" t="s">
        <v>79</v>
      </c>
      <c r="F19" s="163">
        <v>45033</v>
      </c>
      <c r="G19" s="169"/>
      <c r="H19" s="165">
        <v>6</v>
      </c>
      <c r="I19" s="154">
        <v>45121</v>
      </c>
    </row>
    <row r="20" spans="2:10" x14ac:dyDescent="0.25">
      <c r="B20" s="558"/>
      <c r="C20" s="160" t="s">
        <v>63</v>
      </c>
      <c r="E20" s="153" t="s">
        <v>80</v>
      </c>
      <c r="F20" s="163">
        <v>45034</v>
      </c>
      <c r="G20" s="169"/>
      <c r="H20" s="165">
        <v>7</v>
      </c>
      <c r="I20" s="154">
        <v>45124</v>
      </c>
    </row>
    <row r="21" spans="2:10" x14ac:dyDescent="0.25">
      <c r="B21" s="558"/>
      <c r="C21" s="160" t="s">
        <v>64</v>
      </c>
      <c r="E21" s="153" t="s">
        <v>81</v>
      </c>
      <c r="F21" s="163">
        <v>45035</v>
      </c>
      <c r="G21" s="169"/>
      <c r="H21" s="165">
        <v>8</v>
      </c>
      <c r="I21" s="154">
        <v>45125</v>
      </c>
    </row>
    <row r="22" spans="2:10" x14ac:dyDescent="0.25">
      <c r="B22" s="558"/>
      <c r="C22" s="160" t="s">
        <v>65</v>
      </c>
      <c r="E22" s="153" t="s">
        <v>82</v>
      </c>
      <c r="F22" s="163">
        <v>45036</v>
      </c>
      <c r="G22" s="169"/>
      <c r="H22" s="165">
        <v>9</v>
      </c>
      <c r="I22" s="154">
        <v>45126</v>
      </c>
    </row>
    <row r="23" spans="2:10" ht="15.75" thickBot="1" x14ac:dyDescent="0.3">
      <c r="B23" s="558"/>
      <c r="C23" s="160" t="s">
        <v>66</v>
      </c>
      <c r="E23" s="153" t="s">
        <v>83</v>
      </c>
      <c r="F23" s="163">
        <v>45037</v>
      </c>
      <c r="G23" s="169"/>
      <c r="H23" s="170">
        <v>0</v>
      </c>
      <c r="I23" s="166">
        <v>45128</v>
      </c>
    </row>
    <row r="24" spans="2:10" ht="15" customHeight="1" thickTop="1" thickBot="1" x14ac:dyDescent="0.3">
      <c r="B24" s="574"/>
      <c r="C24" s="574"/>
      <c r="E24" s="153" t="s">
        <v>84</v>
      </c>
      <c r="F24" s="163">
        <v>45040</v>
      </c>
      <c r="G24" s="167"/>
      <c r="H24" s="570" t="s">
        <v>684</v>
      </c>
      <c r="I24" s="570"/>
      <c r="J24" s="167"/>
    </row>
    <row r="25" spans="2:10" ht="16.5" thickTop="1" thickBot="1" x14ac:dyDescent="0.3">
      <c r="B25" s="574"/>
      <c r="C25" s="574"/>
      <c r="E25" s="153" t="s">
        <v>85</v>
      </c>
      <c r="F25" s="163">
        <v>45041</v>
      </c>
      <c r="H25" s="570"/>
      <c r="I25" s="570"/>
      <c r="J25" s="10"/>
    </row>
    <row r="26" spans="2:10" ht="16.5" thickTop="1" thickBot="1" x14ac:dyDescent="0.3">
      <c r="B26" s="574"/>
      <c r="C26" s="574"/>
      <c r="E26" s="153" t="s">
        <v>86</v>
      </c>
      <c r="F26" s="163">
        <v>45042</v>
      </c>
      <c r="G26" s="167"/>
      <c r="H26" s="570"/>
      <c r="I26" s="570"/>
      <c r="J26" s="167"/>
    </row>
    <row r="27" spans="2:10" ht="16.5" thickTop="1" thickBot="1" x14ac:dyDescent="0.3">
      <c r="B27" s="574"/>
      <c r="C27" s="574"/>
      <c r="E27" s="153" t="s">
        <v>87</v>
      </c>
      <c r="F27" s="163">
        <v>45043</v>
      </c>
      <c r="H27" s="570"/>
      <c r="I27" s="570"/>
      <c r="J27" s="10"/>
    </row>
    <row r="28" spans="2:10" ht="16.5" thickTop="1" thickBot="1" x14ac:dyDescent="0.3">
      <c r="B28" s="574"/>
      <c r="C28" s="574"/>
      <c r="E28" s="153" t="s">
        <v>88</v>
      </c>
      <c r="F28" s="163">
        <v>45044</v>
      </c>
      <c r="G28" s="167"/>
      <c r="H28" s="570"/>
      <c r="I28" s="570"/>
      <c r="J28" s="167"/>
    </row>
    <row r="29" spans="2:10" ht="16.5" thickTop="1" thickBot="1" x14ac:dyDescent="0.3">
      <c r="B29" s="574"/>
      <c r="C29" s="574"/>
      <c r="E29" s="153" t="s">
        <v>89</v>
      </c>
      <c r="F29" s="154">
        <v>45048</v>
      </c>
      <c r="H29" s="570"/>
      <c r="I29" s="570"/>
      <c r="J29" s="10"/>
    </row>
    <row r="30" spans="2:10" ht="16.5" thickTop="1" thickBot="1" x14ac:dyDescent="0.3">
      <c r="B30" s="574"/>
      <c r="C30" s="574"/>
      <c r="E30" s="153" t="s">
        <v>90</v>
      </c>
      <c r="F30" s="154">
        <v>45049</v>
      </c>
      <c r="H30" s="570"/>
      <c r="I30" s="570"/>
    </row>
    <row r="31" spans="2:10" ht="16.5" thickTop="1" thickBot="1" x14ac:dyDescent="0.3">
      <c r="B31" s="574"/>
      <c r="C31" s="574"/>
      <c r="E31" s="153" t="s">
        <v>91</v>
      </c>
      <c r="F31" s="154">
        <v>45050</v>
      </c>
      <c r="H31" s="570"/>
      <c r="I31" s="570"/>
    </row>
    <row r="32" spans="2:10" ht="16.5" thickTop="1" thickBot="1" x14ac:dyDescent="0.3">
      <c r="B32" s="574"/>
      <c r="C32" s="574"/>
      <c r="E32" s="153" t="s">
        <v>92</v>
      </c>
      <c r="F32" s="154">
        <v>45051</v>
      </c>
      <c r="H32" s="570"/>
      <c r="I32" s="570"/>
    </row>
    <row r="33" spans="2:9" ht="16.5" thickTop="1" thickBot="1" x14ac:dyDescent="0.3">
      <c r="B33" s="574"/>
      <c r="C33" s="574"/>
      <c r="E33" s="171" t="s">
        <v>93</v>
      </c>
      <c r="F33" s="166">
        <v>45054</v>
      </c>
      <c r="H33" s="571"/>
      <c r="I33" s="571"/>
    </row>
    <row r="34" spans="2:9" ht="15" customHeight="1" thickTop="1" thickBot="1" x14ac:dyDescent="0.3">
      <c r="B34" s="574"/>
      <c r="C34" s="574"/>
      <c r="E34" s="570" t="s">
        <v>96</v>
      </c>
      <c r="F34" s="570"/>
      <c r="G34" s="570"/>
      <c r="H34" s="570"/>
      <c r="I34" s="570"/>
    </row>
    <row r="35" spans="2:9" ht="16.5" thickTop="1" thickBot="1" x14ac:dyDescent="0.3">
      <c r="B35" s="574"/>
      <c r="C35" s="574"/>
      <c r="E35" s="570"/>
      <c r="F35" s="570"/>
      <c r="G35" s="570"/>
      <c r="H35" s="570"/>
      <c r="I35" s="570"/>
    </row>
    <row r="36" spans="2:9" ht="16.5" thickTop="1" thickBot="1" x14ac:dyDescent="0.3">
      <c r="B36" s="574"/>
      <c r="C36" s="574"/>
      <c r="E36" s="570"/>
      <c r="F36" s="570"/>
      <c r="G36" s="570"/>
      <c r="H36" s="570"/>
      <c r="I36" s="570"/>
    </row>
    <row r="37" spans="2:9" ht="16.5" thickTop="1" thickBot="1" x14ac:dyDescent="0.3">
      <c r="B37" s="574"/>
      <c r="C37" s="574"/>
      <c r="E37" s="570"/>
      <c r="F37" s="570"/>
      <c r="G37" s="570"/>
      <c r="H37" s="570"/>
      <c r="I37" s="570"/>
    </row>
    <row r="38" spans="2:9" ht="16.5" thickTop="1" thickBot="1" x14ac:dyDescent="0.3">
      <c r="B38" s="574"/>
      <c r="C38" s="574"/>
      <c r="E38" s="570"/>
      <c r="F38" s="570"/>
      <c r="G38" s="570"/>
      <c r="H38" s="570"/>
      <c r="I38" s="570"/>
    </row>
    <row r="39" spans="2:9" ht="3" customHeight="1" thickTop="1" thickBot="1" x14ac:dyDescent="0.3">
      <c r="B39" s="574"/>
      <c r="C39" s="574"/>
    </row>
    <row r="40" spans="2:9" ht="15" customHeight="1" thickTop="1" thickBot="1" x14ac:dyDescent="0.3">
      <c r="B40" s="574"/>
      <c r="C40" s="574"/>
      <c r="E40" s="570" t="s">
        <v>97</v>
      </c>
      <c r="F40" s="570"/>
      <c r="G40" s="570"/>
      <c r="H40" s="570"/>
      <c r="I40" s="570"/>
    </row>
    <row r="41" spans="2:9" ht="16.5" thickTop="1" thickBot="1" x14ac:dyDescent="0.3">
      <c r="B41" s="574"/>
      <c r="C41" s="574"/>
      <c r="E41" s="570"/>
      <c r="F41" s="570"/>
      <c r="G41" s="570"/>
      <c r="H41" s="570"/>
      <c r="I41" s="570"/>
    </row>
    <row r="42" spans="2:9" ht="16.5" thickTop="1" thickBot="1" x14ac:dyDescent="0.3">
      <c r="B42" s="574"/>
      <c r="C42" s="574"/>
      <c r="E42" s="570"/>
      <c r="F42" s="570"/>
      <c r="G42" s="570"/>
      <c r="H42" s="570"/>
      <c r="I42" s="570"/>
    </row>
    <row r="43" spans="2:9" ht="16.5" thickTop="1" thickBot="1" x14ac:dyDescent="0.3">
      <c r="B43" s="574"/>
      <c r="C43" s="574"/>
      <c r="E43" s="570"/>
      <c r="F43" s="570"/>
      <c r="G43" s="570"/>
      <c r="H43" s="570"/>
      <c r="I43" s="570"/>
    </row>
    <row r="44" spans="2:9" ht="16.5" thickTop="1" thickBot="1" x14ac:dyDescent="0.3">
      <c r="B44" s="574"/>
      <c r="C44" s="574"/>
      <c r="E44" s="570"/>
      <c r="F44" s="570"/>
      <c r="G44" s="570"/>
      <c r="H44" s="570"/>
      <c r="I44" s="570"/>
    </row>
    <row r="45" spans="2:9" ht="3" customHeight="1" thickTop="1" x14ac:dyDescent="0.25"/>
  </sheetData>
  <sheetProtection algorithmName="SHA-512" hashValue="KmKutoSEm0SrAg5dWbkJXA4aosyUPS/mnFTpD6zuQW3qI5x6JsPaCADBmMAku3wBs3XYTOf8g84e+KPDmw/DXQ==" saltValue="C9gEdFiFesFkRkrT8XR6XA==" spinCount="100000" sheet="1" objects="1" scenarios="1"/>
  <protectedRanges>
    <protectedRange algorithmName="SHA-512" hashValue="o7Zqc/wsUgLIc2v+DufkH90ez7DBwqT7Fjffq7LRghdDjyyFZz88DoQUeZh3xa4bAidqnWRDDWirOstp1/9jYQ==" saltValue="X8Kdc5CpeXkwPuReU2INSw==" spinCount="100000" sqref="E12:I33" name="PersonasJuridicas"/>
  </protectedRanges>
  <mergeCells count="15">
    <mergeCell ref="B2:C7"/>
    <mergeCell ref="E3:J3"/>
    <mergeCell ref="B8:C9"/>
    <mergeCell ref="E8:F10"/>
    <mergeCell ref="H8:I10"/>
    <mergeCell ref="B10:C10"/>
    <mergeCell ref="E40:I44"/>
    <mergeCell ref="H24:I33"/>
    <mergeCell ref="E34:I38"/>
    <mergeCell ref="B12:B23"/>
    <mergeCell ref="E12:E13"/>
    <mergeCell ref="F12:F13"/>
    <mergeCell ref="H12:H13"/>
    <mergeCell ref="I12:I13"/>
    <mergeCell ref="B24:C44"/>
  </mergeCells>
  <hyperlinks>
    <hyperlink ref="B12:B23" location="Anual!A1" display="Calendario" xr:uid="{9C7BB28E-03BB-4A33-BD87-231281D87013}"/>
    <hyperlink ref="C12" location="Enero!A1" display="Enero" xr:uid="{8AF21EB1-C0E5-4722-A4D0-A2E45BBEF145}"/>
    <hyperlink ref="C13" location="Febrero!A1" display="Febrero" xr:uid="{F0F9E76C-DDCA-4554-ABB6-D61EA1FAE3F5}"/>
    <hyperlink ref="C14" location="Marzo!A1" display="Marzo" xr:uid="{D18E43B0-1E1A-41FE-AC46-0D1FA008D22C}"/>
    <hyperlink ref="C15" location="Abril!A1" display="Abril" xr:uid="{2DEA938B-148E-4671-98CA-7FB9111B0B9E}"/>
    <hyperlink ref="C16" location="Mayo!A1" display="Mayo" xr:uid="{99CC795C-E5AB-41AA-88FF-4032428C208C}"/>
    <hyperlink ref="C17" location="Junio!A1" display="Junio" xr:uid="{E0C92551-228A-467F-B5B0-7787BE58D86B}"/>
    <hyperlink ref="C18" location="Julio!A1" display="Julio" xr:uid="{589A868A-2484-414A-BAE2-8ED3D739639D}"/>
    <hyperlink ref="C19" location="Agosto!A1" display="Agosto" xr:uid="{866BC263-2F2F-4C0C-8428-4796550E0C9D}"/>
    <hyperlink ref="C20" location="Septiembre!A1" display="Septiembre" xr:uid="{12460978-755A-4921-89E6-EA45A6E60E00}"/>
    <hyperlink ref="C21" location="Octubre!A1" display="Octubre" xr:uid="{D6D7D6DA-319D-4BBB-96E8-2F60EED6ADAB}"/>
    <hyperlink ref="C22" location="Noviembre!A1" display="Noviembre" xr:uid="{FCCE27D6-5156-43DC-8C02-2857B1D098CC}"/>
    <hyperlink ref="C23" location="Diciembre!A1" display="Diciembre" xr:uid="{52E89555-4DCD-41E3-89B2-D492B45356D1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AC4A2-1504-4869-AE0B-D58864D7284B}">
  <dimension ref="A1:J40"/>
  <sheetViews>
    <sheetView showGridLines="0" showRowColHeaders="0" topLeftCell="A5" zoomScaleNormal="100" workbookViewId="0"/>
  </sheetViews>
  <sheetFormatPr baseColWidth="10" defaultColWidth="0" defaultRowHeight="15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style="10" customWidth="1"/>
    <col min="8" max="8" width="13.7109375" customWidth="1"/>
    <col min="9" max="9" width="23.85546875" bestFit="1" customWidth="1"/>
    <col min="10" max="10" width="0.85546875" customWidth="1"/>
    <col min="11" max="16384" width="11.42578125" hidden="1"/>
  </cols>
  <sheetData>
    <row r="1" spans="2:10" ht="28.5" customHeight="1" x14ac:dyDescent="0.25"/>
    <row r="2" spans="2:10" ht="15" customHeight="1" x14ac:dyDescent="0.25">
      <c r="B2" s="546"/>
      <c r="C2" s="546"/>
    </row>
    <row r="3" spans="2:10" ht="15.75" x14ac:dyDescent="0.25">
      <c r="B3" s="546"/>
      <c r="C3" s="546"/>
      <c r="E3" s="562" t="s">
        <v>183</v>
      </c>
      <c r="F3" s="562"/>
      <c r="G3" s="562"/>
      <c r="H3" s="562"/>
      <c r="I3" s="562"/>
      <c r="J3" s="562"/>
    </row>
    <row r="4" spans="2:10" ht="15.75" x14ac:dyDescent="0.25">
      <c r="B4" s="546"/>
      <c r="C4" s="546"/>
      <c r="E4" s="184" t="s">
        <v>194</v>
      </c>
      <c r="F4" s="185"/>
      <c r="G4" s="185"/>
      <c r="H4" s="185"/>
      <c r="I4" s="185"/>
      <c r="J4" s="185"/>
    </row>
    <row r="5" spans="2:10" ht="15.75" customHeight="1" x14ac:dyDescent="0.25">
      <c r="B5" s="546"/>
      <c r="C5" s="546"/>
    </row>
    <row r="6" spans="2:10" ht="15" customHeight="1" x14ac:dyDescent="0.25">
      <c r="B6" s="546"/>
      <c r="C6" s="546"/>
      <c r="E6" s="147" t="s">
        <v>102</v>
      </c>
      <c r="F6" s="147"/>
      <c r="G6" s="147"/>
      <c r="H6" s="147"/>
      <c r="I6" s="147"/>
      <c r="J6" s="147"/>
    </row>
    <row r="7" spans="2:10" x14ac:dyDescent="0.25">
      <c r="B7" s="546"/>
      <c r="C7" s="546"/>
    </row>
    <row r="8" spans="2:10" ht="15" customHeight="1" x14ac:dyDescent="0.25">
      <c r="B8" s="563" t="s">
        <v>47</v>
      </c>
      <c r="C8" s="563"/>
      <c r="E8" s="564" t="s">
        <v>103</v>
      </c>
      <c r="F8" s="565"/>
      <c r="G8" s="149"/>
      <c r="H8" s="564" t="s">
        <v>103</v>
      </c>
      <c r="I8" s="565"/>
      <c r="J8" s="150"/>
    </row>
    <row r="9" spans="2:10" x14ac:dyDescent="0.25">
      <c r="B9" s="563"/>
      <c r="C9" s="563"/>
      <c r="E9" s="566"/>
      <c r="F9" s="567"/>
      <c r="G9" s="149"/>
      <c r="H9" s="566"/>
      <c r="I9" s="567"/>
      <c r="J9" s="150"/>
    </row>
    <row r="10" spans="2:10" x14ac:dyDescent="0.25">
      <c r="B10" s="555" t="s">
        <v>67</v>
      </c>
      <c r="C10" s="556"/>
      <c r="E10" s="568"/>
      <c r="F10" s="569"/>
      <c r="G10" s="149"/>
      <c r="H10" s="568"/>
      <c r="I10" s="569"/>
      <c r="J10" s="150"/>
    </row>
    <row r="11" spans="2:10" x14ac:dyDescent="0.25">
      <c r="B11" s="173"/>
      <c r="C11" s="172" t="s">
        <v>51</v>
      </c>
    </row>
    <row r="12" spans="2:10" ht="15" customHeight="1" x14ac:dyDescent="0.25">
      <c r="B12" s="557" t="s">
        <v>52</v>
      </c>
      <c r="C12" s="159" t="s">
        <v>53</v>
      </c>
      <c r="E12" s="559" t="s">
        <v>104</v>
      </c>
      <c r="F12" s="549" t="s">
        <v>55</v>
      </c>
      <c r="G12" s="149"/>
      <c r="H12" s="559" t="s">
        <v>104</v>
      </c>
      <c r="I12" s="549" t="s">
        <v>55</v>
      </c>
      <c r="J12" s="150"/>
    </row>
    <row r="13" spans="2:10" x14ac:dyDescent="0.25">
      <c r="B13" s="558"/>
      <c r="C13" s="160" t="s">
        <v>56</v>
      </c>
      <c r="E13" s="560"/>
      <c r="F13" s="550"/>
      <c r="G13" s="149"/>
      <c r="H13" s="560"/>
      <c r="I13" s="550"/>
      <c r="J13" s="150"/>
    </row>
    <row r="14" spans="2:10" x14ac:dyDescent="0.25">
      <c r="B14" s="558"/>
      <c r="C14" s="160" t="s">
        <v>57</v>
      </c>
      <c r="E14" s="151" t="s">
        <v>105</v>
      </c>
      <c r="F14" s="152">
        <v>45147</v>
      </c>
      <c r="H14" s="151" t="s">
        <v>130</v>
      </c>
      <c r="I14" s="163">
        <v>45183</v>
      </c>
    </row>
    <row r="15" spans="2:10" x14ac:dyDescent="0.25">
      <c r="B15" s="558"/>
      <c r="C15" s="160" t="s">
        <v>58</v>
      </c>
      <c r="E15" s="153" t="s">
        <v>106</v>
      </c>
      <c r="F15" s="163">
        <v>45148</v>
      </c>
      <c r="H15" s="153" t="s">
        <v>131</v>
      </c>
      <c r="I15" s="154">
        <v>45184</v>
      </c>
    </row>
    <row r="16" spans="2:10" x14ac:dyDescent="0.25">
      <c r="B16" s="558"/>
      <c r="C16" s="160" t="s">
        <v>59</v>
      </c>
      <c r="E16" s="153" t="s">
        <v>107</v>
      </c>
      <c r="F16" s="163">
        <v>45149</v>
      </c>
      <c r="H16" s="153" t="s">
        <v>132</v>
      </c>
      <c r="I16" s="154">
        <v>45187</v>
      </c>
    </row>
    <row r="17" spans="2:10" x14ac:dyDescent="0.25">
      <c r="B17" s="558"/>
      <c r="C17" s="160" t="s">
        <v>60</v>
      </c>
      <c r="E17" s="153" t="s">
        <v>108</v>
      </c>
      <c r="F17" s="163">
        <v>45152</v>
      </c>
      <c r="H17" s="153" t="s">
        <v>133</v>
      </c>
      <c r="I17" s="154">
        <v>45188</v>
      </c>
    </row>
    <row r="18" spans="2:10" x14ac:dyDescent="0.25">
      <c r="B18" s="558"/>
      <c r="C18" s="160" t="s">
        <v>61</v>
      </c>
      <c r="E18" s="153" t="s">
        <v>109</v>
      </c>
      <c r="F18" s="163">
        <v>45153</v>
      </c>
      <c r="H18" s="153" t="s">
        <v>134</v>
      </c>
      <c r="I18" s="154">
        <v>45189</v>
      </c>
    </row>
    <row r="19" spans="2:10" x14ac:dyDescent="0.25">
      <c r="B19" s="558"/>
      <c r="C19" s="160" t="s">
        <v>62</v>
      </c>
      <c r="E19" s="153" t="s">
        <v>110</v>
      </c>
      <c r="F19" s="163">
        <v>45154</v>
      </c>
      <c r="H19" s="153" t="s">
        <v>135</v>
      </c>
      <c r="I19" s="154">
        <v>45190</v>
      </c>
    </row>
    <row r="20" spans="2:10" x14ac:dyDescent="0.25">
      <c r="B20" s="558"/>
      <c r="C20" s="160" t="s">
        <v>63</v>
      </c>
      <c r="E20" s="153" t="s">
        <v>111</v>
      </c>
      <c r="F20" s="163">
        <v>45155</v>
      </c>
      <c r="H20" s="153" t="s">
        <v>136</v>
      </c>
      <c r="I20" s="154">
        <v>45191</v>
      </c>
    </row>
    <row r="21" spans="2:10" x14ac:dyDescent="0.25">
      <c r="B21" s="558"/>
      <c r="C21" s="160" t="s">
        <v>64</v>
      </c>
      <c r="E21" s="153" t="s">
        <v>112</v>
      </c>
      <c r="F21" s="163">
        <v>45156</v>
      </c>
      <c r="H21" s="153" t="s">
        <v>137</v>
      </c>
      <c r="I21" s="154">
        <v>45194</v>
      </c>
    </row>
    <row r="22" spans="2:10" x14ac:dyDescent="0.25">
      <c r="B22" s="558"/>
      <c r="C22" s="160" t="s">
        <v>65</v>
      </c>
      <c r="E22" s="153" t="s">
        <v>113</v>
      </c>
      <c r="F22" s="163">
        <v>45160</v>
      </c>
      <c r="H22" s="153" t="s">
        <v>138</v>
      </c>
      <c r="I22" s="154">
        <v>45195</v>
      </c>
    </row>
    <row r="23" spans="2:10" x14ac:dyDescent="0.25">
      <c r="B23" s="576"/>
      <c r="C23" s="161" t="s">
        <v>66</v>
      </c>
      <c r="E23" s="153" t="s">
        <v>114</v>
      </c>
      <c r="F23" s="163">
        <v>45161</v>
      </c>
      <c r="H23" s="153" t="s">
        <v>139</v>
      </c>
      <c r="I23" s="154">
        <v>45196</v>
      </c>
    </row>
    <row r="24" spans="2:10" ht="15" customHeight="1" x14ac:dyDescent="0.25">
      <c r="B24" s="575"/>
      <c r="C24" s="575"/>
      <c r="E24" s="153" t="s">
        <v>115</v>
      </c>
      <c r="F24" s="163">
        <v>45162</v>
      </c>
      <c r="G24" s="167"/>
      <c r="H24" s="153" t="s">
        <v>140</v>
      </c>
      <c r="I24" s="154">
        <v>45197</v>
      </c>
      <c r="J24" s="167"/>
    </row>
    <row r="25" spans="2:10" ht="15" customHeight="1" x14ac:dyDescent="0.25">
      <c r="B25" s="546"/>
      <c r="C25" s="546"/>
      <c r="E25" s="153" t="s">
        <v>116</v>
      </c>
      <c r="F25" s="163">
        <v>45163</v>
      </c>
      <c r="G25" s="167"/>
      <c r="H25" s="153" t="s">
        <v>141</v>
      </c>
      <c r="I25" s="154">
        <v>45198</v>
      </c>
      <c r="J25" s="167"/>
    </row>
    <row r="26" spans="2:10" ht="15" customHeight="1" x14ac:dyDescent="0.25">
      <c r="B26" s="546"/>
      <c r="C26" s="546"/>
      <c r="E26" s="153" t="s">
        <v>117</v>
      </c>
      <c r="F26" s="163">
        <v>45166</v>
      </c>
      <c r="G26" s="167"/>
      <c r="H26" s="153" t="s">
        <v>142</v>
      </c>
      <c r="I26" s="154">
        <v>45201</v>
      </c>
      <c r="J26" s="167"/>
    </row>
    <row r="27" spans="2:10" ht="15" customHeight="1" x14ac:dyDescent="0.25">
      <c r="B27" s="546"/>
      <c r="C27" s="546"/>
      <c r="E27" s="153" t="s">
        <v>118</v>
      </c>
      <c r="F27" s="163">
        <v>45167</v>
      </c>
      <c r="G27" s="167"/>
      <c r="H27" s="153" t="s">
        <v>143</v>
      </c>
      <c r="I27" s="154">
        <v>45202</v>
      </c>
      <c r="J27" s="167"/>
    </row>
    <row r="28" spans="2:10" ht="15" customHeight="1" x14ac:dyDescent="0.25">
      <c r="B28" s="546"/>
      <c r="C28" s="546"/>
      <c r="E28" s="153" t="s">
        <v>119</v>
      </c>
      <c r="F28" s="163">
        <v>45168</v>
      </c>
      <c r="G28" s="167"/>
      <c r="H28" s="153" t="s">
        <v>144</v>
      </c>
      <c r="I28" s="154">
        <v>45203</v>
      </c>
      <c r="J28" s="167"/>
    </row>
    <row r="29" spans="2:10" ht="15" customHeight="1" x14ac:dyDescent="0.25">
      <c r="B29" s="546"/>
      <c r="C29" s="546"/>
      <c r="E29" s="153" t="s">
        <v>120</v>
      </c>
      <c r="F29" s="163">
        <v>45169</v>
      </c>
      <c r="G29" s="167"/>
      <c r="H29" s="153" t="s">
        <v>145</v>
      </c>
      <c r="I29" s="154">
        <v>45204</v>
      </c>
      <c r="J29" s="167"/>
    </row>
    <row r="30" spans="2:10" x14ac:dyDescent="0.25">
      <c r="B30" s="546"/>
      <c r="C30" s="546"/>
      <c r="E30" s="153" t="s">
        <v>121</v>
      </c>
      <c r="F30" s="163">
        <v>45170</v>
      </c>
      <c r="H30" s="153" t="s">
        <v>146</v>
      </c>
      <c r="I30" s="154">
        <v>45205</v>
      </c>
      <c r="J30" s="10"/>
    </row>
    <row r="31" spans="2:10" x14ac:dyDescent="0.25">
      <c r="B31" s="546"/>
      <c r="C31" s="546"/>
      <c r="E31" s="153" t="s">
        <v>122</v>
      </c>
      <c r="F31" s="163">
        <v>45173</v>
      </c>
      <c r="G31" s="167"/>
      <c r="H31" s="153" t="s">
        <v>147</v>
      </c>
      <c r="I31" s="154">
        <v>45208</v>
      </c>
      <c r="J31" s="167"/>
    </row>
    <row r="32" spans="2:10" x14ac:dyDescent="0.25">
      <c r="B32" s="546"/>
      <c r="C32" s="546"/>
      <c r="E32" s="153" t="s">
        <v>123</v>
      </c>
      <c r="F32" s="163">
        <v>45174</v>
      </c>
      <c r="H32" s="153" t="s">
        <v>148</v>
      </c>
      <c r="I32" s="154">
        <v>45209</v>
      </c>
      <c r="J32" s="10"/>
    </row>
    <row r="33" spans="2:10" x14ac:dyDescent="0.25">
      <c r="B33" s="546"/>
      <c r="C33" s="546"/>
      <c r="E33" s="153" t="s">
        <v>124</v>
      </c>
      <c r="F33" s="163">
        <v>45175</v>
      </c>
      <c r="G33" s="167"/>
      <c r="H33" s="153" t="s">
        <v>149</v>
      </c>
      <c r="I33" s="154">
        <v>45210</v>
      </c>
      <c r="J33" s="167"/>
    </row>
    <row r="34" spans="2:10" x14ac:dyDescent="0.25">
      <c r="B34" s="546"/>
      <c r="C34" s="546"/>
      <c r="E34" s="153" t="s">
        <v>125</v>
      </c>
      <c r="F34" s="163">
        <v>45176</v>
      </c>
      <c r="H34" s="153" t="s">
        <v>150</v>
      </c>
      <c r="I34" s="154">
        <v>45211</v>
      </c>
      <c r="J34" s="10"/>
    </row>
    <row r="35" spans="2:10" x14ac:dyDescent="0.25">
      <c r="B35" s="546"/>
      <c r="C35" s="546"/>
      <c r="E35" s="153" t="s">
        <v>126</v>
      </c>
      <c r="F35" s="163">
        <v>45177</v>
      </c>
      <c r="H35" s="153" t="s">
        <v>151</v>
      </c>
      <c r="I35" s="154">
        <v>45212</v>
      </c>
    </row>
    <row r="36" spans="2:10" x14ac:dyDescent="0.25">
      <c r="B36" s="546"/>
      <c r="C36" s="546"/>
      <c r="E36" s="153" t="s">
        <v>127</v>
      </c>
      <c r="F36" s="163">
        <v>45180</v>
      </c>
      <c r="H36" s="153" t="s">
        <v>152</v>
      </c>
      <c r="I36" s="154">
        <v>45216</v>
      </c>
    </row>
    <row r="37" spans="2:10" x14ac:dyDescent="0.25">
      <c r="B37" s="546"/>
      <c r="C37" s="546"/>
      <c r="E37" s="153" t="s">
        <v>128</v>
      </c>
      <c r="F37" s="163">
        <v>45181</v>
      </c>
      <c r="H37" s="153" t="s">
        <v>153</v>
      </c>
      <c r="I37" s="154">
        <v>45217</v>
      </c>
    </row>
    <row r="38" spans="2:10" x14ac:dyDescent="0.25">
      <c r="B38" s="546"/>
      <c r="C38" s="546"/>
      <c r="E38" s="174" t="s">
        <v>129</v>
      </c>
      <c r="F38" s="156">
        <v>45182</v>
      </c>
      <c r="H38" s="174" t="s">
        <v>154</v>
      </c>
      <c r="I38" s="156">
        <v>45218</v>
      </c>
    </row>
    <row r="39" spans="2:10" ht="3" customHeight="1" x14ac:dyDescent="0.25"/>
    <row r="40" spans="2:10" ht="5.25" customHeight="1" x14ac:dyDescent="0.25"/>
  </sheetData>
  <sheetProtection algorithmName="SHA-512" hashValue="GyLq2fIMB/JjmdkXHGICf6Y/89jLGMroc2aiLjo/ycyejK+fde7nC5YWgt1oxuPu/qLgO87YyXNuTVs2YfwS4g==" saltValue="46rWbNcz7VcX41erxLeN/w==" spinCount="100000" sheet="1" objects="1" scenarios="1"/>
  <protectedRanges>
    <protectedRange algorithmName="SHA-512" hashValue="Wm7LikLY0SoZmb25C0MXv/sKTwunbgrNhplHLDeWJmArIPebVj835g0l2nD314uNGerzC5uAhiWvNZEQtBQAtg==" saltValue="g6Iek0rwd7uDzY4ZxK3waw==" spinCount="100000" sqref="E12:I38" name="PersonasNaturales"/>
  </protectedRanges>
  <mergeCells count="12">
    <mergeCell ref="B24:C38"/>
    <mergeCell ref="B2:C7"/>
    <mergeCell ref="E3:J3"/>
    <mergeCell ref="B8:C9"/>
    <mergeCell ref="E8:F10"/>
    <mergeCell ref="H8:I10"/>
    <mergeCell ref="B10:C10"/>
    <mergeCell ref="B12:B23"/>
    <mergeCell ref="E12:E13"/>
    <mergeCell ref="F12:F13"/>
    <mergeCell ref="H12:H13"/>
    <mergeCell ref="I12:I13"/>
  </mergeCells>
  <phoneticPr fontId="37" type="noConversion"/>
  <hyperlinks>
    <hyperlink ref="B12:B23" location="Anual!A1" display="Calendario" xr:uid="{D920F72E-C292-4C7D-9A77-68BDA44C0F13}"/>
    <hyperlink ref="C12" location="Enero!A1" display="Enero" xr:uid="{F62A8214-330A-428D-84BA-410163DF7596}"/>
    <hyperlink ref="C13" location="Febrero!A1" display="Febrero" xr:uid="{D26470C5-FA85-43FF-A412-2E9260CEED79}"/>
    <hyperlink ref="C14" location="Marzo!A1" display="Marzo" xr:uid="{8DA4CE73-54F7-4CFE-B9DC-FC4CF4B3CCFA}"/>
    <hyperlink ref="C15" location="Abril!A1" display="Abril" xr:uid="{1632E424-0B64-4BA2-8796-170FE50C5A33}"/>
    <hyperlink ref="C16" location="Mayo!A1" display="Mayo" xr:uid="{C307B88C-3EE2-4C78-94CE-BB188365B8E4}"/>
    <hyperlink ref="C17" location="Junio!A1" display="Junio" xr:uid="{07EEADE9-33A4-4724-BD5A-628B01974E01}"/>
    <hyperlink ref="C18" location="Julio!A1" display="Julio" xr:uid="{AF7361B0-5D4C-42D6-9084-97B50763E92E}"/>
    <hyperlink ref="C19" location="Agosto!A1" display="Agosto" xr:uid="{58E5F34C-8C37-44BF-82E4-D95B84318882}"/>
    <hyperlink ref="C20" location="Septiembre!A1" display="Septiembre" xr:uid="{7C249AFA-D0A8-4E6D-BBA0-FC2A1B4CE94B}"/>
    <hyperlink ref="C21" location="Octubre!A1" display="Octubre" xr:uid="{8F7004A1-2091-4487-A97A-00F37D6FF969}"/>
    <hyperlink ref="C22" location="Noviembre!A1" display="Noviembre" xr:uid="{739A5E86-F632-4668-8EFA-3C8C925726A2}"/>
    <hyperlink ref="C23" location="Diciembre!A1" display="Diciembre" xr:uid="{8AE67546-756D-4789-A4E0-7EA67CF159F9}"/>
  </hyperlinks>
  <pageMargins left="0.7" right="0.7" top="0.75" bottom="0.75" header="0.3" footer="0.3"/>
  <pageSetup scale="9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C78F3-E99C-4610-9BF1-CE212D233F1F}">
  <dimension ref="A1:N24"/>
  <sheetViews>
    <sheetView showGridLines="0" showRowColHeaders="0" workbookViewId="0">
      <selection activeCell="H21" sqref="H21"/>
    </sheetView>
  </sheetViews>
  <sheetFormatPr baseColWidth="10" defaultColWidth="0" defaultRowHeight="61.5" customHeight="1" zeroHeight="1" x14ac:dyDescent="0.25"/>
  <cols>
    <col min="1" max="1" width="0.85546875" customWidth="1"/>
    <col min="2" max="2" width="3.7109375" customWidth="1"/>
    <col min="3" max="3" width="13.7109375" customWidth="1"/>
    <col min="4" max="4" width="0.85546875" customWidth="1"/>
    <col min="5" max="5" width="13.7109375" customWidth="1"/>
    <col min="6" max="6" width="23.85546875" bestFit="1" customWidth="1"/>
    <col min="7" max="7" width="0.85546875" customWidth="1"/>
    <col min="8" max="8" width="13.7109375" customWidth="1"/>
    <col min="9" max="9" width="23.85546875" bestFit="1" customWidth="1"/>
    <col min="10" max="10" width="0.85546875" customWidth="1"/>
    <col min="11" max="13" width="11.42578125" hidden="1"/>
    <col min="15" max="16384" width="11.42578125" hidden="1"/>
  </cols>
  <sheetData>
    <row r="1" spans="2:9" ht="28.5" customHeight="1" x14ac:dyDescent="0.25"/>
    <row r="2" spans="2:9" ht="15" customHeight="1" x14ac:dyDescent="0.25">
      <c r="B2" s="546"/>
      <c r="C2" s="546"/>
    </row>
    <row r="3" spans="2:9" ht="15.75" x14ac:dyDescent="0.25">
      <c r="B3" s="546"/>
      <c r="C3" s="546"/>
      <c r="E3" s="562" t="s">
        <v>742</v>
      </c>
      <c r="F3" s="562"/>
      <c r="G3" s="562"/>
      <c r="H3" s="562"/>
      <c r="I3" s="562"/>
    </row>
    <row r="4" spans="2:9" ht="15" x14ac:dyDescent="0.25">
      <c r="B4" s="546"/>
      <c r="C4" s="546"/>
    </row>
    <row r="5" spans="2:9" ht="15.75" customHeight="1" x14ac:dyDescent="0.25">
      <c r="B5" s="546"/>
      <c r="C5" s="546"/>
      <c r="E5" s="147" t="s">
        <v>743</v>
      </c>
      <c r="F5" s="147"/>
      <c r="G5" s="147"/>
      <c r="H5" s="147"/>
      <c r="I5" s="147"/>
    </row>
    <row r="6" spans="2:9" ht="15" x14ac:dyDescent="0.25">
      <c r="B6" s="546"/>
      <c r="C6" s="546"/>
    </row>
    <row r="7" spans="2:9" ht="15" customHeight="1" x14ac:dyDescent="0.25">
      <c r="B7" s="563" t="s">
        <v>47</v>
      </c>
      <c r="C7" s="563"/>
      <c r="E7" s="564" t="s">
        <v>744</v>
      </c>
      <c r="F7" s="565"/>
      <c r="G7" s="150"/>
      <c r="H7" s="564" t="s">
        <v>745</v>
      </c>
      <c r="I7" s="565"/>
    </row>
    <row r="8" spans="2:9" ht="15" x14ac:dyDescent="0.25">
      <c r="B8" s="563"/>
      <c r="C8" s="563"/>
      <c r="E8" s="566"/>
      <c r="F8" s="567"/>
      <c r="G8" s="150"/>
      <c r="H8" s="566"/>
      <c r="I8" s="567"/>
    </row>
    <row r="9" spans="2:9" ht="15" x14ac:dyDescent="0.25">
      <c r="B9" s="555" t="s">
        <v>67</v>
      </c>
      <c r="C9" s="556"/>
      <c r="E9" s="568"/>
      <c r="F9" s="569"/>
      <c r="G9" s="150"/>
      <c r="H9" s="568"/>
      <c r="I9" s="569"/>
    </row>
    <row r="10" spans="2:9" ht="15" x14ac:dyDescent="0.25">
      <c r="B10" s="173"/>
      <c r="C10" s="172" t="s">
        <v>51</v>
      </c>
    </row>
    <row r="11" spans="2:9" ht="15" customHeight="1" x14ac:dyDescent="0.25">
      <c r="B11" s="557" t="s">
        <v>52</v>
      </c>
      <c r="C11" s="159" t="s">
        <v>53</v>
      </c>
      <c r="E11" s="559" t="s">
        <v>54</v>
      </c>
      <c r="F11" s="549" t="s">
        <v>55</v>
      </c>
      <c r="G11" s="150"/>
      <c r="H11" s="559" t="s">
        <v>54</v>
      </c>
      <c r="I11" s="549" t="s">
        <v>55</v>
      </c>
    </row>
    <row r="12" spans="2:9" ht="15" x14ac:dyDescent="0.25">
      <c r="B12" s="558"/>
      <c r="C12" s="160" t="s">
        <v>56</v>
      </c>
      <c r="E12" s="560"/>
      <c r="F12" s="550"/>
      <c r="G12" s="150"/>
      <c r="H12" s="560"/>
      <c r="I12" s="550"/>
    </row>
    <row r="13" spans="2:9" ht="15" x14ac:dyDescent="0.25">
      <c r="B13" s="558"/>
      <c r="C13" s="160" t="s">
        <v>57</v>
      </c>
      <c r="E13" s="151">
        <v>1</v>
      </c>
      <c r="F13" s="152">
        <v>45055</v>
      </c>
      <c r="H13" s="151">
        <v>1</v>
      </c>
      <c r="I13" s="152">
        <v>45176</v>
      </c>
    </row>
    <row r="14" spans="2:9" ht="15" x14ac:dyDescent="0.25">
      <c r="B14" s="558"/>
      <c r="C14" s="160" t="s">
        <v>58</v>
      </c>
      <c r="E14" s="153">
        <v>2</v>
      </c>
      <c r="F14" s="154">
        <v>45056</v>
      </c>
      <c r="H14" s="153">
        <v>2</v>
      </c>
      <c r="I14" s="154">
        <v>45177</v>
      </c>
    </row>
    <row r="15" spans="2:9" ht="15" x14ac:dyDescent="0.25">
      <c r="B15" s="558"/>
      <c r="C15" s="160" t="s">
        <v>59</v>
      </c>
      <c r="E15" s="153">
        <v>3</v>
      </c>
      <c r="F15" s="154">
        <v>45057</v>
      </c>
      <c r="H15" s="153">
        <v>3</v>
      </c>
      <c r="I15" s="154">
        <v>45180</v>
      </c>
    </row>
    <row r="16" spans="2:9" ht="15" x14ac:dyDescent="0.25">
      <c r="B16" s="558"/>
      <c r="C16" s="160" t="s">
        <v>60</v>
      </c>
      <c r="E16" s="153">
        <v>4</v>
      </c>
      <c r="F16" s="154">
        <v>45058</v>
      </c>
      <c r="H16" s="153">
        <v>4</v>
      </c>
      <c r="I16" s="154">
        <v>45181</v>
      </c>
    </row>
    <row r="17" spans="2:9" ht="15" x14ac:dyDescent="0.25">
      <c r="B17" s="558"/>
      <c r="C17" s="160" t="s">
        <v>61</v>
      </c>
      <c r="E17" s="153">
        <v>5</v>
      </c>
      <c r="F17" s="154">
        <v>45061</v>
      </c>
      <c r="H17" s="153">
        <v>5</v>
      </c>
      <c r="I17" s="154">
        <v>45182</v>
      </c>
    </row>
    <row r="18" spans="2:9" ht="15" x14ac:dyDescent="0.25">
      <c r="B18" s="558"/>
      <c r="C18" s="160" t="s">
        <v>62</v>
      </c>
      <c r="E18" s="153">
        <v>6</v>
      </c>
      <c r="F18" s="154">
        <v>45062</v>
      </c>
      <c r="H18" s="153">
        <v>6</v>
      </c>
      <c r="I18" s="154">
        <v>45183</v>
      </c>
    </row>
    <row r="19" spans="2:9" ht="15" x14ac:dyDescent="0.25">
      <c r="B19" s="558"/>
      <c r="C19" s="160" t="s">
        <v>63</v>
      </c>
      <c r="E19" s="153">
        <v>7</v>
      </c>
      <c r="F19" s="154">
        <v>45063</v>
      </c>
      <c r="H19" s="153">
        <v>7</v>
      </c>
      <c r="I19" s="154">
        <v>45184</v>
      </c>
    </row>
    <row r="20" spans="2:9" ht="15" x14ac:dyDescent="0.25">
      <c r="B20" s="558"/>
      <c r="C20" s="160" t="s">
        <v>64</v>
      </c>
      <c r="E20" s="153">
        <v>8</v>
      </c>
      <c r="F20" s="154">
        <v>45064</v>
      </c>
      <c r="H20" s="153">
        <v>8</v>
      </c>
      <c r="I20" s="154">
        <v>45187</v>
      </c>
    </row>
    <row r="21" spans="2:9" ht="15" x14ac:dyDescent="0.25">
      <c r="B21" s="558"/>
      <c r="C21" s="160" t="s">
        <v>65</v>
      </c>
      <c r="E21" s="153">
        <v>9</v>
      </c>
      <c r="F21" s="154">
        <v>45065</v>
      </c>
      <c r="H21" s="153">
        <v>9</v>
      </c>
      <c r="I21" s="154">
        <v>45188</v>
      </c>
    </row>
    <row r="22" spans="2:9" ht="15" customHeight="1" x14ac:dyDescent="0.25">
      <c r="B22" s="576"/>
      <c r="C22" s="161" t="s">
        <v>66</v>
      </c>
      <c r="E22" s="155">
        <v>0</v>
      </c>
      <c r="F22" s="156">
        <v>45069</v>
      </c>
      <c r="G22" s="158"/>
      <c r="H22" s="155">
        <v>0</v>
      </c>
      <c r="I22" s="156">
        <v>45189</v>
      </c>
    </row>
    <row r="23" spans="2:9" ht="4.5" customHeight="1" x14ac:dyDescent="0.25"/>
    <row r="24" spans="2:9" ht="61.5" hidden="1" customHeight="1" x14ac:dyDescent="0.25">
      <c r="B24" s="823"/>
      <c r="C24" s="823"/>
    </row>
  </sheetData>
  <sheetProtection algorithmName="SHA-512" hashValue="giCkoQVGptmBMeRE5e/Evu3T6goIwtUG6XilfWXJoEGnjP75L/MM89r6YLPZD1ovU0F3hWfBgRFv7ZIvM8p4Ew==" saltValue="Ele5uezIIR3USVVk+2khIg==" spinCount="100000" sheet="1" objects="1" scenarios="1"/>
  <protectedRanges>
    <protectedRange algorithmName="SHA-512" hashValue="9sWIfV6Gdk5RpozfR1Fz1ENDaxlbZJh1OtoI/Vv3iTvca15gTv5PSx1DEkChW+PZqZIhtJw0TI+cRLRtbO+22g==" saltValue="sLw9wKjmB6yZdmhvGlu0dg==" spinCount="100000" sqref="E11:I22" name="ImpoPatrimonio"/>
  </protectedRanges>
  <mergeCells count="11">
    <mergeCell ref="B2:C6"/>
    <mergeCell ref="E3:I3"/>
    <mergeCell ref="B7:C8"/>
    <mergeCell ref="E7:F9"/>
    <mergeCell ref="H7:I9"/>
    <mergeCell ref="B9:C9"/>
    <mergeCell ref="I11:I12"/>
    <mergeCell ref="H11:H12"/>
    <mergeCell ref="B11:B22"/>
    <mergeCell ref="E11:E12"/>
    <mergeCell ref="F11:F12"/>
  </mergeCells>
  <hyperlinks>
    <hyperlink ref="B11:B22" location="Anual!A1" display="Calendario" xr:uid="{084CC61C-F117-4F13-963D-B19CD432AFE6}"/>
    <hyperlink ref="C11" location="Enero!A1" display="Enero" xr:uid="{96A19301-F0AC-460C-88EF-CE8B55886FC3}"/>
    <hyperlink ref="C12" location="Febrero!A1" display="Febrero" xr:uid="{FEC04EE7-64B8-4EA1-AFDD-07902BAD7BA1}"/>
    <hyperlink ref="C13" location="Marzo!A1" display="Marzo" xr:uid="{74A11F55-6EBB-4FAC-B25F-2F02165515AD}"/>
    <hyperlink ref="C14" location="Abril!A1" display="Abril" xr:uid="{200DD025-E47E-4FF3-94C4-37E34E5F76A8}"/>
    <hyperlink ref="C15" location="Mayo!A1" display="Mayo" xr:uid="{DDDDC032-E301-452D-AA3A-574487D88C09}"/>
    <hyperlink ref="C16" location="Junio!A1" display="Junio" xr:uid="{C33BCEE7-08E6-4D50-837B-182DF656ABFD}"/>
    <hyperlink ref="C17" location="Julio!A1" display="Julio" xr:uid="{2DCE1D74-28AD-4143-99B2-983E60E2F47F}"/>
    <hyperlink ref="C18" location="Agosto!A1" display="Agosto" xr:uid="{7D58EBD7-84E1-4EA6-AAE7-C2C7BA9CC4E2}"/>
    <hyperlink ref="C19" location="Septiembre!A1" display="Septiembre" xr:uid="{EBE963A1-2F9C-4443-915C-431964A4EC54}"/>
    <hyperlink ref="C20" location="Octubre!A1" display="Octubre" xr:uid="{80651219-FC8D-48A7-BBFD-B2D6AE2C429E}"/>
    <hyperlink ref="C21" location="Noviembre!A1" display="Noviembre" xr:uid="{2330DD05-E205-44C5-AD6F-C6481C8BD4EE}"/>
    <hyperlink ref="C22" location="Diciembre!A1" display="Diciembre" xr:uid="{E061E1C8-6470-4218-B25F-3EFA32F75D9D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3D505D71325B642A582B744DE220A54" ma:contentTypeVersion="14" ma:contentTypeDescription="Crear nuevo documento." ma:contentTypeScope="" ma:versionID="169ed2f85955cf3586907dfc3f021720">
  <xsd:schema xmlns:xsd="http://www.w3.org/2001/XMLSchema" xmlns:xs="http://www.w3.org/2001/XMLSchema" xmlns:p="http://schemas.microsoft.com/office/2006/metadata/properties" xmlns:ns3="f1e440f3-a4d8-475c-9b61-324f304f71b0" xmlns:ns4="409497bf-5388-4377-b666-f596d9c8f04d" targetNamespace="http://schemas.microsoft.com/office/2006/metadata/properties" ma:root="true" ma:fieldsID="6c4ad1aa2bceeb091cc5f7f5862954a5" ns3:_="" ns4:_="">
    <xsd:import namespace="f1e440f3-a4d8-475c-9b61-324f304f71b0"/>
    <xsd:import namespace="409497bf-5388-4377-b666-f596d9c8f04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e440f3-a4d8-475c-9b61-324f304f71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9497bf-5388-4377-b666-f596d9c8f04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F753E07-C961-463F-A21D-096F2CD598C4}">
  <ds:schemaRefs>
    <ds:schemaRef ds:uri="http://schemas.microsoft.com/office/2006/documentManagement/types"/>
    <ds:schemaRef ds:uri="http://schemas.microsoft.com/office/2006/metadata/properties"/>
    <ds:schemaRef ds:uri="f1e440f3-a4d8-475c-9b61-324f304f71b0"/>
    <ds:schemaRef ds:uri="409497bf-5388-4377-b666-f596d9c8f04d"/>
    <ds:schemaRef ds:uri="http://purl.org/dc/dcmitype/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DBF25CE-4853-45D8-AC8B-54F2CF073B9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6DC964-A102-404E-848A-AD3EDD0D20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e440f3-a4d8-475c-9b61-324f304f71b0"/>
    <ds:schemaRef ds:uri="409497bf-5388-4377-b666-f596d9c8f0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23</vt:i4>
      </vt:variant>
    </vt:vector>
  </HeadingPairs>
  <TitlesOfParts>
    <vt:vector size="71" baseType="lpstr">
      <vt:lpstr>FERIADOS</vt:lpstr>
      <vt:lpstr>Días festivos</vt:lpstr>
      <vt:lpstr>Portada</vt:lpstr>
      <vt:lpstr>Menú</vt:lpstr>
      <vt:lpstr>GrandeContribuyentes</vt:lpstr>
      <vt:lpstr>AnticipoSobretasa</vt:lpstr>
      <vt:lpstr>PersonasJurídicas</vt:lpstr>
      <vt:lpstr>PersonasNaturales</vt:lpstr>
      <vt:lpstr>ImpoPatrimonio</vt:lpstr>
      <vt:lpstr>RST-DeclaUnificada</vt:lpstr>
      <vt:lpstr>RST-IVACosolidada</vt:lpstr>
      <vt:lpstr>RST-Anticipo</vt:lpstr>
      <vt:lpstr>PT_Declara_Docum</vt:lpstr>
      <vt:lpstr>PT_InformeMestro</vt:lpstr>
      <vt:lpstr>PT_PaísporPaís</vt:lpstr>
      <vt:lpstr>IVABimestral</vt:lpstr>
      <vt:lpstr>IVA_Cuatrimestre</vt:lpstr>
      <vt:lpstr>IVA_Serv_Exterior</vt:lpstr>
      <vt:lpstr>ImpoBebidayComestiblesUltra</vt:lpstr>
      <vt:lpstr>IMPOconsumo</vt:lpstr>
      <vt:lpstr>RETEfuente</vt:lpstr>
      <vt:lpstr>TablaRetefuente</vt:lpstr>
      <vt:lpstr>Gasol_ACPM</vt:lpstr>
      <vt:lpstr>IMPOcarbono</vt:lpstr>
      <vt:lpstr>Impoplasticos1Uso</vt:lpstr>
      <vt:lpstr>GMF</vt:lpstr>
      <vt:lpstr>Certificados</vt:lpstr>
      <vt:lpstr>ExogenaDIAN</vt:lpstr>
      <vt:lpstr>Supersociedades</vt:lpstr>
      <vt:lpstr>ICA_Cali</vt:lpstr>
      <vt:lpstr>ICA_Bogotá</vt:lpstr>
      <vt:lpstr>ICA_Medellín</vt:lpstr>
      <vt:lpstr>ICA_Barranquilla</vt:lpstr>
      <vt:lpstr>Otros _Datos</vt:lpstr>
      <vt:lpstr>Anual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Contra</vt:lpstr>
      <vt:lpstr>Abril!Área_de_impresión</vt:lpstr>
      <vt:lpstr>Agosto!Área_de_impresión</vt:lpstr>
      <vt:lpstr>Anual!Área_de_impresión</vt:lpstr>
      <vt:lpstr>'Días festivos'!Área_de_impresión</vt:lpstr>
      <vt:lpstr>Diciembre!Área_de_impresión</vt:lpstr>
      <vt:lpstr>Enero!Área_de_impresión</vt:lpstr>
      <vt:lpstr>Febrero!Área_de_impresión</vt:lpstr>
      <vt:lpstr>GrandeContribuyentes!Área_de_impresión</vt:lpstr>
      <vt:lpstr>Julio!Área_de_impresión</vt:lpstr>
      <vt:lpstr>Junio!Área_de_impresión</vt:lpstr>
      <vt:lpstr>Marzo!Área_de_impresión</vt:lpstr>
      <vt:lpstr>Mayo!Área_de_impresión</vt:lpstr>
      <vt:lpstr>Noviembre!Área_de_impresión</vt:lpstr>
      <vt:lpstr>Octubre!Área_de_impresión</vt:lpstr>
      <vt:lpstr>PersonasJurídicas!Área_de_impresión</vt:lpstr>
      <vt:lpstr>PersonasNaturales!Área_de_impresión</vt:lpstr>
      <vt:lpstr>Septiembre!Área_de_impresión</vt:lpstr>
      <vt:lpstr>CalYear</vt:lpstr>
      <vt:lpstr>InicioDeLaSemana</vt:lpstr>
      <vt:lpstr>MostrarDíasFestivos</vt:lpstr>
      <vt:lpstr>MostrarFestivosObservados</vt:lpstr>
      <vt:lpstr>Observado</vt:lpstr>
      <vt:lpstr>tblDíasfestivos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Garcia Ocampo</dc:creator>
  <cp:keywords>Calendario Tributario 2023</cp:keywords>
  <cp:lastModifiedBy>Rodrigo García Ocampo</cp:lastModifiedBy>
  <cp:lastPrinted>2023-01-05T00:46:10Z</cp:lastPrinted>
  <dcterms:created xsi:type="dcterms:W3CDTF">2021-01-08T18:26:37Z</dcterms:created>
  <dcterms:modified xsi:type="dcterms:W3CDTF">2023-02-23T02:25:07Z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0x010100E3D505D71325B642A582B744DE220A54</vt:lpwstr>
  </property>
</Properties>
</file>